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55" activeTab="12"/>
  </bookViews>
  <sheets>
    <sheet name="需求" sheetId="11" r:id="rId1"/>
    <sheet name="案子" sheetId="1" r:id="rId2"/>
    <sheet name="熔炼属性池" sheetId="6" r:id="rId3"/>
    <sheet name="装备属性池" sheetId="4" r:id="rId4"/>
    <sheet name="无双吕布" sheetId="15" r:id="rId5"/>
    <sheet name="强化等级显示" sheetId="13" r:id="rId6"/>
    <sheet name="最大值参考" sheetId="7" r:id="rId7"/>
    <sheet name="词条掉落属性参考" sheetId="8" r:id="rId8"/>
    <sheet name="属性池" sheetId="2" state="hidden" r:id="rId9"/>
    <sheet name="表结构" sheetId="9" state="hidden" r:id="rId10"/>
    <sheet name="强化转移功能案子" sheetId="12" r:id="rId11"/>
    <sheet name="第二套" sheetId="14" r:id="rId12"/>
    <sheet name="Sheet13" sheetId="16" r:id="rId13"/>
    <sheet name="WpsReserved_CellImgList" sheetId="10" state="veryHidden" r:id="rId14"/>
  </sheets>
  <definedNames>
    <definedName name="_xlnm._FilterDatabase" localSheetId="11" hidden="1">第二套!$A$1:$A$87</definedName>
    <definedName name="_xlnm._FilterDatabase" localSheetId="3" hidden="1">装备属性池!$A$13:$AD$69</definedName>
    <definedName name="WebWps_Link_1" hidden="1">案子!$B$107:$B$107</definedName>
    <definedName name="WebWps_Link_2" hidden="1">案子!$G$44:$G$44</definedName>
    <definedName name="WebWps_Link_3" hidden="1">装备属性池!$A$35:$A$35</definedName>
    <definedName name="_xlnm._FilterDatabase" localSheetId="4" hidden="1">无双吕布!$A$13:$AD$69</definedName>
    <definedName name="WebWps_Link_3" localSheetId="4" hidden="1">无双吕布!$A$35:$A$35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53D4A31C2674E7C924D944E4908687B" descr="upload_post_object_v2_62399664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6425" y="25067260"/>
          <a:ext cx="3618865" cy="5092700"/>
        </a:xfrm>
        <a:prstGeom prst="rect">
          <a:avLst/>
        </a:prstGeom>
      </xdr:spPr>
    </xdr:pic>
  </etc:cellImage>
  <etc:cellImage>
    <xdr:pic>
      <xdr:nvPicPr>
        <xdr:cNvPr id="3" name="ID_9BC68C4A9AC04E2FB6CF12F75BE6269A" descr="upload_post_object_v2_864194299"/>
        <xdr:cNvPicPr/>
      </xdr:nvPicPr>
      <xdr:blipFill>
        <a:blip r:embed="rId2"/>
        <a:stretch>
          <a:fillRect/>
        </a:stretch>
      </xdr:blipFill>
      <xdr:spPr>
        <a:xfrm>
          <a:off x="0" y="0"/>
          <a:ext cx="2838450" cy="1895475"/>
        </a:xfrm>
        <a:prstGeom prst="rect">
          <a:avLst/>
        </a:prstGeom>
      </xdr:spPr>
    </xdr:pic>
  </etc:cellImage>
  <etc:cellImage>
    <xdr:pic>
      <xdr:nvPicPr>
        <xdr:cNvPr id="4" name="ID_50FF1B0D9A64409DA8129808340625E3" descr="upload_post_object_v2_3883534209"/>
        <xdr:cNvPicPr/>
      </xdr:nvPicPr>
      <xdr:blipFill>
        <a:blip r:embed="rId3"/>
        <a:stretch>
          <a:fillRect/>
        </a:stretch>
      </xdr:blipFill>
      <xdr:spPr>
        <a:xfrm>
          <a:off x="0" y="0"/>
          <a:ext cx="2914650" cy="1943100"/>
        </a:xfrm>
        <a:prstGeom prst="rect">
          <a:avLst/>
        </a:prstGeom>
      </xdr:spPr>
    </xdr:pic>
  </etc:cellImage>
  <etc:cellImage>
    <xdr:pic>
      <xdr:nvPicPr>
        <xdr:cNvPr id="5" name="ID_4C3BB1DC997640D881C9CBE938749B5C" descr="upload_post_object_v2_1843847136"/>
        <xdr:cNvPicPr/>
      </xdr:nvPicPr>
      <xdr:blipFill>
        <a:blip r:embed="rId4"/>
        <a:stretch>
          <a:fillRect/>
        </a:stretch>
      </xdr:blipFill>
      <xdr:spPr>
        <a:xfrm>
          <a:off x="0" y="0"/>
          <a:ext cx="2295525" cy="1714500"/>
        </a:xfrm>
        <a:prstGeom prst="rect">
          <a:avLst/>
        </a:prstGeom>
      </xdr:spPr>
    </xdr:pic>
  </etc:cellImage>
  <etc:cellImage>
    <xdr:pic>
      <xdr:nvPicPr>
        <xdr:cNvPr id="6" name="ID_C867BE89B4F04B0C868763E8DD1CD45A" descr="upload_post_object_v2_845652862"/>
        <xdr:cNvPicPr/>
      </xdr:nvPicPr>
      <xdr:blipFill>
        <a:blip r:embed="rId5"/>
        <a:stretch>
          <a:fillRect/>
        </a:stretch>
      </xdr:blipFill>
      <xdr:spPr>
        <a:xfrm>
          <a:off x="0" y="0"/>
          <a:ext cx="2057400" cy="971550"/>
        </a:xfrm>
        <a:prstGeom prst="rect">
          <a:avLst/>
        </a:prstGeom>
      </xdr:spPr>
    </xdr:pic>
  </etc:cellImage>
  <etc:cellImage>
    <xdr:pic>
      <xdr:nvPicPr>
        <xdr:cNvPr id="7" name="ID_85E91E88D9094E26BFE971ADD9762798" descr="upload_post_object_v2_4221377803"/>
        <xdr:cNvPicPr/>
      </xdr:nvPicPr>
      <xdr:blipFill>
        <a:blip r:embed="rId6"/>
        <a:stretch>
          <a:fillRect/>
        </a:stretch>
      </xdr:blipFill>
      <xdr:spPr>
        <a:xfrm>
          <a:off x="0" y="0"/>
          <a:ext cx="1952625" cy="952500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Unknown User</author>
  </authors>
  <commentList>
    <comment ref="D2" authorId="0">
      <text>
        <r>
          <rPr>
            <b/>
            <sz val="9"/>
            <rFont val="宋体"/>
            <charset val="0"/>
          </rPr>
          <t>BKBK:</t>
        </r>
        <r>
          <rPr>
            <sz val="9"/>
            <rFont val="宋体"/>
            <charset val="0"/>
          </rPr>
          <t xml:space="preserve">
以此确定装备的熔炼类型
青龙的武器都是一类
朱雀的武器都是一类</t>
        </r>
      </text>
    </comment>
    <comment ref="E2" authorId="0">
      <text>
        <r>
          <rPr>
            <b/>
            <sz val="9"/>
            <rFont val="宋体"/>
            <charset val="0"/>
          </rPr>
          <t>BKBK:</t>
        </r>
        <r>
          <rPr>
            <sz val="9"/>
            <rFont val="宋体"/>
            <charset val="0"/>
          </rPr>
          <t xml:space="preserve">
根据属性组配置好的固定基因填写数值
防止后期填错 减少维护风险</t>
        </r>
      </text>
    </comment>
    <comment ref="N2" authorId="0">
      <text>
        <r>
          <rPr>
            <b/>
            <sz val="9"/>
            <rFont val="宋体"/>
            <charset val="0"/>
          </rPr>
          <t>BKBK:</t>
        </r>
        <r>
          <rPr>
            <sz val="9"/>
            <rFont val="宋体"/>
            <charset val="0"/>
          </rPr>
          <t xml:space="preserve">
决定此件装备的可用职业类型
例如前期武器仅投放16职业中的本职业词条
后期武器会有全部16职业
也可以调整概率</t>
        </r>
      </text>
    </comment>
  </commentList>
</comments>
</file>

<file path=xl/sharedStrings.xml><?xml version="1.0" encoding="utf-8"?>
<sst xmlns="http://schemas.openxmlformats.org/spreadsheetml/2006/main" count="1939" uniqueCount="732">
  <si>
    <t>完成进度</t>
  </si>
  <si>
    <t>跳转链接</t>
  </si>
  <si>
    <t>已完成</t>
  </si>
  <si>
    <t>01</t>
  </si>
  <si>
    <t>新装备</t>
  </si>
  <si>
    <r>
      <rPr>
        <b/>
        <sz val="11"/>
        <color theme="1"/>
        <rFont val="宋体"/>
        <charset val="134"/>
        <scheme val="minor"/>
      </rPr>
      <t xml:space="preserve">新装备类型：熔炼装备
分基础属性和熔炼属性，基础属性永远不变，熔炼属性可强化和替换。
</t>
    </r>
    <r>
      <rPr>
        <b/>
        <strike/>
        <sz val="11"/>
        <color rgb="FFFFFFFF"/>
        <rFont val="宋体"/>
        <charset val="134"/>
      </rPr>
      <t xml:space="preserve">鉴定前可以装备但是仅有基础属性
</t>
    </r>
    <r>
      <rPr>
        <b/>
        <sz val="11"/>
        <color rgb="FF000000"/>
        <rFont val="宋体"/>
        <charset val="134"/>
      </rPr>
      <t>熔炼装备不可进行镶嵌 唤灵 启灵 融合 精铸。</t>
    </r>
    <r>
      <rPr>
        <b/>
        <strike/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熔炼装备部位和普通装备一致，装在普通装备的装备栏。</t>
    </r>
    <r>
      <rPr>
        <b/>
        <sz val="11"/>
        <color rgb="FFFF0000"/>
        <rFont val="宋体"/>
        <charset val="134"/>
      </rPr>
      <t xml:space="preserve">
未绑定的装备穿戴时，弹出提示框："穿戴后装备将与角色绑定，无法被其他角色穿戴"
绑定后，装备描述中添加一行 "[角色名]专属"</t>
    </r>
    <r>
      <rPr>
        <b/>
        <sz val="11"/>
        <color rgb="FF000000"/>
        <rFont val="宋体"/>
        <charset val="134"/>
      </rPr>
      <t xml:space="preserve">
熔炼装备都在三圣山-装备背包里</t>
    </r>
  </si>
  <si>
    <t>1.穿戴后锁定角色 给装备加上角色名 专属：xxx
穿戴时候提示 该装备穿戴后将成为穿戴角色的专属装备 其他角色将无法穿戴。  
避免玩家 将同职业已强化好的装备给小号穿 
2.强化等级继承后原装备 标记为不可继承 加输入框来提示
同一件装备仅可继承一次强化等级或印记
避免玩家通过继承 强化一件装备 多个角色使用该强化等级 
3.熔炼后 不要摧毁  有其他职业属性    
4.分解给熔炼石 10换1未鉴定的 熔炼装备  可指定部位
5.带强化等级和印记的装备不可分解</t>
  </si>
  <si>
    <t>02</t>
  </si>
  <si>
    <t>新功能</t>
  </si>
  <si>
    <t>装备熔炼界面，勾选词条进行替换</t>
  </si>
  <si>
    <t>6.强化熔炼装备所提升的数值 在容量装备tips描述上下面单写一下 增加强化带来的提升展现力</t>
  </si>
  <si>
    <t>03</t>
  </si>
  <si>
    <t>掉落产出</t>
  </si>
  <si>
    <t>熔炼词条生成与显示规则：</t>
  </si>
  <si>
    <t>7.熔炼属性只可替换 不可新增   如果目标装备属性为0 则不可替换新属性上去</t>
  </si>
  <si>
    <t>04</t>
  </si>
  <si>
    <t>属性池</t>
  </si>
  <si>
    <t>装备属性池配置</t>
  </si>
  <si>
    <t>05</t>
  </si>
  <si>
    <t>分解</t>
  </si>
  <si>
    <r>
      <rPr>
        <sz val="11"/>
        <color theme="1"/>
        <rFont val="宋体"/>
        <charset val="134"/>
        <scheme val="minor"/>
      </rPr>
      <t>熔炼装备分解配置在三圣山分解功能里，分解后获得</t>
    </r>
    <r>
      <rPr>
        <b/>
        <sz val="11"/>
        <color rgb="FF00B050"/>
        <rFont val="宋体"/>
        <charset val="134"/>
      </rPr>
      <t xml:space="preserve">[熔炼石]
</t>
    </r>
    <r>
      <rPr>
        <b/>
        <sz val="11"/>
        <color rgb="FFFF0000"/>
        <rFont val="宋体"/>
        <charset val="134"/>
      </rPr>
      <t>带有强化等级/印记的装备不能被分解</t>
    </r>
  </si>
  <si>
    <t>改名  原因  对应的系统 产出对应关联的名称   起名规则 第一需求 是功能性 见名知意  第二再考虑加修饰词</t>
  </si>
  <si>
    <t>06</t>
  </si>
  <si>
    <t>分解后循环</t>
  </si>
  <si>
    <r>
      <rPr>
        <sz val="11"/>
        <color rgb="FF000000"/>
        <rFont val="宋体"/>
        <charset val="134"/>
      </rPr>
      <t>装备分解的材料可以兑换指定部位装备，放在</t>
    </r>
    <r>
      <rPr>
        <b/>
        <sz val="11"/>
        <color rgb="FF00B050"/>
        <rFont val="宋体"/>
        <charset val="134"/>
      </rPr>
      <t>第一章的npc(神秘人)</t>
    </r>
    <r>
      <rPr>
        <sz val="11"/>
        <color rgb="FF000000"/>
        <rFont val="宋体"/>
        <charset val="134"/>
      </rPr>
      <t xml:space="preserve">  给熔炼石上加上兑换引导说明 </t>
    </r>
  </si>
  <si>
    <t>07</t>
  </si>
  <si>
    <t>强化</t>
  </si>
  <si>
    <r>
      <rPr>
        <sz val="11"/>
        <color rgb="FF000000"/>
        <rFont val="宋体"/>
        <charset val="134"/>
      </rPr>
      <t xml:space="preserve">强化走原有的银子强化
</t>
    </r>
    <r>
      <rPr>
        <b/>
        <strike/>
        <sz val="11"/>
        <color rgb="FF808080"/>
        <rFont val="宋体"/>
        <charset val="134"/>
      </rPr>
      <t>首次强化一件未强化的熔炼装备，弹出提示框："强化后此装备不可作为熔炼素材装备"</t>
    </r>
    <r>
      <rPr>
        <b/>
        <strike/>
        <sz val="11"/>
        <color rgb="FFFF0000"/>
        <rFont val="宋体"/>
        <charset val="134"/>
      </rPr>
      <t xml:space="preserve">
</t>
    </r>
    <r>
      <rPr>
        <b/>
        <sz val="11"/>
        <color rgb="FF00B0F0"/>
        <rFont val="宋体"/>
        <charset val="134"/>
      </rPr>
      <t>强化属性单独显示在熔炼属性下方，单开一条【强化属性】
属性显示没有词条颜色区分，显示加成"[职业]属性名 +数值（+百分比）"
如果本身就是百分比属性，则显示"[职业]属性名 +百分比"</t>
    </r>
  </si>
  <si>
    <t>这个限制用不到了</t>
  </si>
  <si>
    <t>08</t>
  </si>
  <si>
    <t>第一章的关卡开炼狱模式，分别掉落不同部位的装备
怪物掉落的装备都是鉴定前道具</t>
  </si>
  <si>
    <t>数值模拟结果如何</t>
  </si>
  <si>
    <t>09</t>
  </si>
  <si>
    <t>特殊消耗品</t>
  </si>
  <si>
    <r>
      <rPr>
        <sz val="11"/>
        <color rgb="FF000000"/>
        <rFont val="宋体"/>
        <charset val="134"/>
      </rPr>
      <t>添加各部位鉴定前道具，使用直接生成装备，</t>
    </r>
    <r>
      <rPr>
        <strike/>
        <sz val="11"/>
        <color rgb="FF000000"/>
        <rFont val="宋体"/>
        <charset val="134"/>
      </rPr>
      <t>使用消耗银子，使用成功前弹提示框</t>
    </r>
    <r>
      <rPr>
        <b/>
        <strike/>
        <sz val="11"/>
        <color rgb="FF000000"/>
        <rFont val="宋体"/>
        <charset val="134"/>
      </rPr>
      <t>（后期可能会消耗金子，预留）</t>
    </r>
    <r>
      <rPr>
        <sz val="11"/>
        <color rgb="FF000000"/>
        <rFont val="宋体"/>
        <charset val="134"/>
      </rPr>
      <t xml:space="preserve">
放在三圣山背包里</t>
    </r>
  </si>
  <si>
    <t>尽量用老的强化提升比例带入</t>
  </si>
  <si>
    <t>10</t>
  </si>
  <si>
    <t>数值规划</t>
  </si>
  <si>
    <t>首套装备满强化后数值达到目前最高属性的50%</t>
  </si>
  <si>
    <t>.</t>
  </si>
  <si>
    <t>类型</t>
  </si>
  <si>
    <t>道具名</t>
  </si>
  <si>
    <t>品质</t>
  </si>
  <si>
    <t>产出</t>
  </si>
  <si>
    <t>描述</t>
  </si>
  <si>
    <t>三圣山-材料</t>
  </si>
  <si>
    <t>熔炼石</t>
  </si>
  <si>
    <t>紫色</t>
  </si>
  <si>
    <t>分解获得，每次分解获得1个</t>
  </si>
  <si>
    <t>熔炼之物消散时聚成的碎片，可以在NPC[唐周]处兑换好物。</t>
  </si>
  <si>
    <t>三圣山-消耗品</t>
  </si>
  <si>
    <t>黄巾将军-熔炼装备自选箱</t>
  </si>
  <si>
    <t>绿色</t>
  </si>
  <si>
    <t>熔炼石*10兑换</t>
  </si>
  <si>
    <t>被炼狱的业火熔炼而成的神秘装备宝匣</t>
  </si>
  <si>
    <t>人公将军-张梁的防具宝匣</t>
  </si>
  <si>
    <t>副本内掉落</t>
  </si>
  <si>
    <t>地公将军-张宝的首饰宝匣</t>
  </si>
  <si>
    <t>天公将军-张角的武器宝匣</t>
  </si>
  <si>
    <t>防具</t>
  </si>
  <si>
    <t>人公将军·头盔</t>
  </si>
  <si>
    <t>橙色</t>
  </si>
  <si>
    <t>装备等级55</t>
  </si>
  <si>
    <t>人公将军·衣服</t>
  </si>
  <si>
    <t>人公将军·腰带</t>
  </si>
  <si>
    <t>人公将军·鞋子</t>
  </si>
  <si>
    <t>人公将军·裤子</t>
  </si>
  <si>
    <t>首饰</t>
  </si>
  <si>
    <t>地公将军·项链</t>
  </si>
  <si>
    <t>地公将军·手镯</t>
  </si>
  <si>
    <t>地公将军·戒指</t>
  </si>
  <si>
    <t>武器-水晶剑</t>
  </si>
  <si>
    <t>天公将军·水晶剑</t>
  </si>
  <si>
    <t>武器-长剑</t>
  </si>
  <si>
    <t>天公将军·长剑</t>
  </si>
  <si>
    <t>武器-刀</t>
  </si>
  <si>
    <t>天公将军·刀</t>
  </si>
  <si>
    <t>武器-大剑</t>
  </si>
  <si>
    <t>天公将军·大剑</t>
  </si>
  <si>
    <t>武器-拳套</t>
  </si>
  <si>
    <t>天公将军·拳套</t>
  </si>
  <si>
    <t>武器-指环</t>
  </si>
  <si>
    <t>天公将军·指环</t>
  </si>
  <si>
    <t>武器-爪</t>
  </si>
  <si>
    <t>天公将军·爪</t>
  </si>
  <si>
    <t>武器-巨拳</t>
  </si>
  <si>
    <t>天公将军·巨拳</t>
  </si>
  <si>
    <t>武器-飞针</t>
  </si>
  <si>
    <t>天公将军·飞针</t>
  </si>
  <si>
    <t>武器-翎</t>
  </si>
  <si>
    <t>天公将军·翎</t>
  </si>
  <si>
    <t>武器-火器</t>
  </si>
  <si>
    <t>天公将军·玫瑰</t>
  </si>
  <si>
    <t>武器-玫瑰</t>
  </si>
  <si>
    <t>天公将军·火器</t>
  </si>
  <si>
    <t>武器-法杖</t>
  </si>
  <si>
    <t>天公将军·手杖</t>
  </si>
  <si>
    <t>武器-长柄</t>
  </si>
  <si>
    <t>天公将军·长柄</t>
  </si>
  <si>
    <t>武器-手杖</t>
  </si>
  <si>
    <t>天公将军·法杖</t>
  </si>
  <si>
    <t>武器-镰刀</t>
  </si>
  <si>
    <t>天公将军·镰刀</t>
  </si>
  <si>
    <t>价格</t>
  </si>
  <si>
    <t>业火碎片</t>
  </si>
  <si>
    <t>蓝色</t>
  </si>
  <si>
    <t>分解获得，每次分解获得5个</t>
  </si>
  <si>
    <t>熔炼之物消散时聚成的碎片，将其与熔炼锤融合，或许能使熔炼锤有更强的作用。</t>
  </si>
  <si>
    <t>熔炼锤</t>
  </si>
  <si>
    <t>不知何人打造的锤子，似乎能破除炼狱业火...
在熔炼鉴定处使用</t>
  </si>
  <si>
    <t>中级熔炼锤-青龙</t>
  </si>
  <si>
    <t>熔炼鉴定石+30熔炼碎片</t>
  </si>
  <si>
    <t>中级熔炼锤-白虎</t>
  </si>
  <si>
    <t>中级熔炼锤-朱雀</t>
  </si>
  <si>
    <t>中级熔炼锤-玄武</t>
  </si>
  <si>
    <t>高级熔炼锤-青龙</t>
  </si>
  <si>
    <t>熔炼鉴定石+60熔炼碎片</t>
  </si>
  <si>
    <t>高级熔炼锤-白虎</t>
  </si>
  <si>
    <t>高级熔炼锤-朱雀</t>
  </si>
  <si>
    <t>高级熔炼锤-玄武</t>
  </si>
  <si>
    <t>特级熔炼锤-武圣</t>
  </si>
  <si>
    <t>熔炼鉴定石+180熔炼碎片</t>
  </si>
  <si>
    <t>特级熔炼锤-霸刀</t>
  </si>
  <si>
    <t>特级熔炼锤-狂战</t>
  </si>
  <si>
    <t>特级熔炼锤-魔刃</t>
  </si>
  <si>
    <t>特级熔炼锤-破军</t>
  </si>
  <si>
    <t>特级熔炼锤-霸王</t>
  </si>
  <si>
    <t>特级熔炼锤-七杀</t>
  </si>
  <si>
    <t>特级熔炼锤-贪狼</t>
  </si>
  <si>
    <t>特级熔炼锤-魔羽</t>
  </si>
  <si>
    <t>特级熔炼锤-技师</t>
  </si>
  <si>
    <t>特级熔炼锤-天翔</t>
  </si>
  <si>
    <t>特级熔炼锤-影杀</t>
  </si>
  <si>
    <t>特级熔炼锤-术士</t>
  </si>
  <si>
    <t>特级熔炼锤-鬼狩</t>
  </si>
  <si>
    <t>特级熔炼锤-斗魂</t>
  </si>
  <si>
    <t>特级熔炼锤-幻魔</t>
  </si>
  <si>
    <t>玩法逻辑</t>
  </si>
  <si>
    <t>装备熔炼</t>
  </si>
  <si>
    <t>产出途径</t>
  </si>
  <si>
    <t>掉落道具</t>
  </si>
  <si>
    <t>打开可随机获得</t>
  </si>
  <si>
    <t>限制</t>
  </si>
  <si>
    <t>利剑</t>
  </si>
  <si>
    <t>巨刃</t>
  </si>
  <si>
    <t>阔刀</t>
  </si>
  <si>
    <t>晶锋</t>
  </si>
  <si>
    <t>词条随机概率可调整</t>
  </si>
  <si>
    <t>目的：给新人玩家一个可成长的装备</t>
  </si>
  <si>
    <t>曲阳之战-炼狱-张梁</t>
  </si>
  <si>
    <t>头盔</t>
  </si>
  <si>
    <t>通用</t>
  </si>
  <si>
    <t>拳套</t>
  </si>
  <si>
    <t>指环</t>
  </si>
  <si>
    <t>利爪</t>
  </si>
  <si>
    <t>拳刃</t>
  </si>
  <si>
    <t>基础属性随着新装备推出提升</t>
  </si>
  <si>
    <t>曲阳之战开启炼狱模式</t>
  </si>
  <si>
    <t>衣服</t>
  </si>
  <si>
    <t>飞针</t>
  </si>
  <si>
    <t>玉翎</t>
  </si>
  <si>
    <t>火器</t>
  </si>
  <si>
    <t>玫瑰</t>
  </si>
  <si>
    <t>新装备会提升熔炼属性的增长系数</t>
  </si>
  <si>
    <t>难度低</t>
  </si>
  <si>
    <t>腰带</t>
  </si>
  <si>
    <t>法杖</t>
  </si>
  <si>
    <t>长柄</t>
  </si>
  <si>
    <t>手杖</t>
  </si>
  <si>
    <t>镰刀</t>
  </si>
  <si>
    <t>不同套装间根据套装特殊效果做区分</t>
  </si>
  <si>
    <t>熔炼装备不可进行镶嵌 唤灵 启灵 融合、精铸。</t>
  </si>
  <si>
    <t>鞋子</t>
  </si>
  <si>
    <t>强化等级和印记可继承</t>
  </si>
  <si>
    <t>裤子</t>
  </si>
  <si>
    <t>广宗之战-炼狱-张宝</t>
  </si>
  <si>
    <t>项链</t>
  </si>
  <si>
    <t>产出计算：</t>
  </si>
  <si>
    <t>装备放在三圣山背包里</t>
  </si>
  <si>
    <t>手镯</t>
  </si>
  <si>
    <t>体力消耗</t>
  </si>
  <si>
    <t>地图数量</t>
  </si>
  <si>
    <t>角色体力</t>
  </si>
  <si>
    <t>数值区间</t>
  </si>
  <si>
    <t>装备数量</t>
  </si>
  <si>
    <t>职业</t>
  </si>
  <si>
    <t>产量/天</t>
  </si>
  <si>
    <t>毕业需求量</t>
  </si>
  <si>
    <t>毕业时间/天</t>
  </si>
  <si>
    <t>消耗银子</t>
  </si>
  <si>
    <t>强化走原有的银子强化功能</t>
  </si>
  <si>
    <t>戒指</t>
  </si>
  <si>
    <t>熔炼装备可以激活所有的 甲专精</t>
  </si>
  <si>
    <t>邺城守卫战-炼狱-张角</t>
  </si>
  <si>
    <t>水晶剑</t>
  </si>
  <si>
    <t>职业限定</t>
  </si>
  <si>
    <t>长剑</t>
  </si>
  <si>
    <t>刀</t>
  </si>
  <si>
    <t>属性随机</t>
  </si>
  <si>
    <t>开放熔炼相关功能</t>
  </si>
  <si>
    <t>大剑</t>
  </si>
  <si>
    <t>爪</t>
  </si>
  <si>
    <t xml:space="preserve">以后再出 地公装备  天公装备 属性可以均可以进行转移    </t>
  </si>
  <si>
    <t>巨拳</t>
  </si>
  <si>
    <t>翎</t>
  </si>
  <si>
    <t>生成规则</t>
  </si>
  <si>
    <t>显示规则</t>
  </si>
  <si>
    <t>【熔炼属性】</t>
  </si>
  <si>
    <t>可用职业</t>
  </si>
  <si>
    <t>属性词条</t>
  </si>
  <si>
    <t>词条数值</t>
  </si>
  <si>
    <t>【强化属性】</t>
  </si>
  <si>
    <t>词条数值（加成比例）</t>
  </si>
  <si>
    <r>
      <rPr>
        <sz val="11"/>
        <color rgb="FFFF0000"/>
        <rFont val="宋体"/>
        <charset val="134"/>
      </rPr>
      <t>1.可用职业和词条数值</t>
    </r>
    <r>
      <rPr>
        <sz val="11"/>
        <color rgb="FF000000"/>
        <rFont val="宋体"/>
        <charset val="134"/>
      </rPr>
      <t>为随机生成</t>
    </r>
  </si>
  <si>
    <r>
      <rPr>
        <sz val="11"/>
        <color rgb="FFFF0000"/>
        <rFont val="宋体"/>
        <charset val="134"/>
      </rPr>
      <t>2.可用职业</t>
    </r>
    <r>
      <rPr>
        <sz val="11"/>
        <color rgb="FF000000"/>
        <rFont val="宋体"/>
        <charset val="134"/>
      </rPr>
      <t>会影响词条数值最终收益</t>
    </r>
  </si>
  <si>
    <r>
      <rPr>
        <sz val="11"/>
        <color rgb="FF000000"/>
        <rFont val="宋体"/>
        <charset val="134"/>
      </rPr>
      <t>3.</t>
    </r>
    <r>
      <rPr>
        <sz val="11"/>
        <color rgb="FFFF0000"/>
        <rFont val="宋体"/>
        <charset val="134"/>
      </rPr>
      <t>可用职业</t>
    </r>
    <r>
      <rPr>
        <sz val="11"/>
        <color rgb="FF000000"/>
        <rFont val="宋体"/>
        <charset val="134"/>
      </rPr>
      <t>和</t>
    </r>
    <r>
      <rPr>
        <b/>
        <sz val="11"/>
        <color rgb="FF000000"/>
        <rFont val="宋体"/>
        <charset val="134"/>
      </rPr>
      <t>随机结果值</t>
    </r>
    <r>
      <rPr>
        <sz val="11"/>
        <color rgb="FF000000"/>
        <rFont val="宋体"/>
        <charset val="134"/>
      </rPr>
      <t>分别随机</t>
    </r>
  </si>
  <si>
    <r>
      <rPr>
        <sz val="11"/>
        <color rgb="FF000000"/>
        <rFont val="宋体"/>
        <charset val="134"/>
      </rPr>
      <t>4.</t>
    </r>
    <r>
      <rPr>
        <b/>
        <sz val="11"/>
        <color rgb="FF000000"/>
        <rFont val="宋体"/>
        <charset val="134"/>
      </rPr>
      <t>随机结果值</t>
    </r>
    <r>
      <rPr>
        <sz val="11"/>
        <color rgb="FF000000"/>
        <rFont val="宋体"/>
        <charset val="134"/>
      </rPr>
      <t>经过</t>
    </r>
    <r>
      <rPr>
        <b/>
        <sz val="11"/>
        <color rgb="FF000000"/>
        <rFont val="宋体"/>
        <charset val="134"/>
      </rPr>
      <t>属性转化比例</t>
    </r>
    <r>
      <rPr>
        <sz val="11"/>
        <color rgb="FF000000"/>
        <rFont val="宋体"/>
        <charset val="134"/>
      </rPr>
      <t>得出</t>
    </r>
    <r>
      <rPr>
        <b/>
        <sz val="11"/>
        <color rgb="FF000000"/>
        <rFont val="宋体"/>
        <charset val="134"/>
      </rPr>
      <t>最终数值</t>
    </r>
  </si>
  <si>
    <r>
      <rPr>
        <sz val="11"/>
        <color rgb="FF000000"/>
        <rFont val="宋体"/>
        <charset val="134"/>
      </rPr>
      <t>5.</t>
    </r>
    <r>
      <rPr>
        <sz val="11"/>
        <color rgb="FFFF0000"/>
        <rFont val="宋体"/>
        <charset val="134"/>
      </rPr>
      <t>可用职业</t>
    </r>
    <r>
      <rPr>
        <sz val="11"/>
        <color rgb="FF000000"/>
        <rFont val="宋体"/>
        <charset val="134"/>
      </rPr>
      <t>影响</t>
    </r>
    <r>
      <rPr>
        <b/>
        <sz val="11"/>
        <color rgb="FF000000"/>
        <rFont val="宋体"/>
        <charset val="134"/>
      </rPr>
      <t>属性转化比例</t>
    </r>
  </si>
  <si>
    <t>养成玩法</t>
  </si>
  <si>
    <r>
      <rPr>
        <b/>
        <sz val="11"/>
        <color rgb="FF000000"/>
        <rFont val="宋体"/>
        <charset val="134"/>
      </rPr>
      <t>熔炼：相同的</t>
    </r>
    <r>
      <rPr>
        <b/>
        <sz val="11"/>
        <color rgb="FFFF0000"/>
        <rFont val="宋体"/>
        <charset val="134"/>
      </rPr>
      <t>属性词条</t>
    </r>
    <r>
      <rPr>
        <b/>
        <sz val="11"/>
        <color rgb="FF000000"/>
        <rFont val="宋体"/>
        <charset val="134"/>
      </rPr>
      <t>可以通过熔炼替换，且必须是同部位的熔炼装备</t>
    </r>
  </si>
  <si>
    <r>
      <rPr>
        <b/>
        <sz val="11"/>
        <color rgb="FF000000"/>
        <rFont val="宋体"/>
        <charset val="134"/>
      </rPr>
      <t>替换时</t>
    </r>
    <r>
      <rPr>
        <b/>
        <sz val="11"/>
        <color rgb="FFFF0000"/>
        <rFont val="宋体"/>
        <charset val="134"/>
      </rPr>
      <t>可用职业和词条数值</t>
    </r>
    <r>
      <rPr>
        <b/>
        <sz val="11"/>
        <color rgb="FF000000"/>
        <rFont val="宋体"/>
        <charset val="134"/>
      </rPr>
      <t>一并替换</t>
    </r>
  </si>
  <si>
    <r>
      <rPr>
        <strike/>
        <sz val="11"/>
        <color rgb="FF000000"/>
        <rFont val="宋体"/>
        <charset val="134"/>
      </rPr>
      <t>使用熔炼保护，保留</t>
    </r>
    <r>
      <rPr>
        <strike/>
        <sz val="11"/>
        <color rgb="FFFF0000"/>
        <rFont val="宋体"/>
        <charset val="134"/>
      </rPr>
      <t>可用职业</t>
    </r>
    <r>
      <rPr>
        <strike/>
        <sz val="11"/>
        <color rgb="FF000000"/>
        <rFont val="宋体"/>
        <charset val="134"/>
      </rPr>
      <t>和</t>
    </r>
    <r>
      <rPr>
        <strike/>
        <sz val="11"/>
        <color rgb="FFFF0000"/>
        <rFont val="宋体"/>
        <charset val="134"/>
      </rPr>
      <t>词条数值</t>
    </r>
    <r>
      <rPr>
        <strike/>
        <sz val="11"/>
        <color rgb="FF000000"/>
        <rFont val="宋体"/>
        <charset val="134"/>
      </rPr>
      <t>的其中一项</t>
    </r>
  </si>
  <si>
    <t>强化：消耗银子和素材进行强化，走原有的强化逻辑，但是加的属性为熔炼属性</t>
  </si>
  <si>
    <t>老装备的强化继承可以继承至熔炼装备</t>
  </si>
  <si>
    <t>/使用强化保护，可以提高成功概率，失败不掉等级</t>
  </si>
  <si>
    <t>属性转化比例</t>
  </si>
  <si>
    <t>词条颜色</t>
  </si>
  <si>
    <t>词条颜色范围
（0%-N%）</t>
  </si>
  <si>
    <t>示例：</t>
  </si>
  <si>
    <t>白色</t>
  </si>
  <si>
    <t>0%+</t>
  </si>
  <si>
    <t>[+6]人公凌云盔</t>
  </si>
  <si>
    <t>四职业</t>
  </si>
  <si>
    <t>40%+</t>
  </si>
  <si>
    <t>已绑定</t>
  </si>
  <si>
    <t>十六职业</t>
  </si>
  <si>
    <t>70%+</t>
  </si>
  <si>
    <t>随机值*转化比</t>
  </si>
  <si>
    <t>最终值</t>
  </si>
  <si>
    <t>熔炼装备</t>
  </si>
  <si>
    <t>90%+</t>
  </si>
  <si>
    <t>最上级</t>
  </si>
  <si>
    <t>生命值 +800</t>
  </si>
  <si>
    <r>
      <rPr>
        <b/>
        <sz val="11"/>
        <color rgb="FF000000"/>
        <rFont val="宋体"/>
        <charset val="134"/>
      </rPr>
      <t>属性最高值</t>
    </r>
    <r>
      <rPr>
        <sz val="11"/>
        <color rgb="FF000000"/>
        <rFont val="宋体"/>
        <charset val="134"/>
      </rPr>
      <t>= 增长系数*装备等级</t>
    </r>
  </si>
  <si>
    <t>物理防御 +120</t>
  </si>
  <si>
    <r>
      <rPr>
        <b/>
        <sz val="11"/>
        <color rgb="FF000000"/>
        <rFont val="宋体"/>
        <charset val="134"/>
      </rPr>
      <t>属性最低值</t>
    </r>
    <r>
      <rPr>
        <sz val="11"/>
        <color rgb="FF000000"/>
        <rFont val="宋体"/>
        <charset val="134"/>
      </rPr>
      <t>= 属性最高值/随机量</t>
    </r>
  </si>
  <si>
    <t>体力 +20</t>
  </si>
  <si>
    <r>
      <rPr>
        <b/>
        <sz val="11"/>
        <color rgb="FF000000"/>
        <rFont val="宋体"/>
        <charset val="134"/>
      </rPr>
      <t>最终数值</t>
    </r>
    <r>
      <rPr>
        <sz val="11"/>
        <color rgb="FF000000"/>
        <rFont val="宋体"/>
        <charset val="134"/>
      </rPr>
      <t>= 随机结果值*可用职业属性转化比例</t>
    </r>
  </si>
  <si>
    <t>[狂战]物理、法术攻击力 +620</t>
  </si>
  <si>
    <r>
      <rPr>
        <b/>
        <sz val="11"/>
        <color rgb="FF000000"/>
        <rFont val="宋体"/>
        <charset val="134"/>
      </rPr>
      <t>最终颜色</t>
    </r>
    <r>
      <rPr>
        <sz val="11"/>
        <color rgb="FF000000"/>
        <rFont val="宋体"/>
        <charset val="134"/>
      </rPr>
      <t>：随机结果值比对该件装备的颜色切换锚点，决定颜色，从低向高</t>
    </r>
  </si>
  <si>
    <t>[青龙]水属性伤害 +1%</t>
  </si>
  <si>
    <t>[白虎]武力、智力 +23</t>
  </si>
  <si>
    <r>
      <rPr>
        <b/>
        <sz val="11"/>
        <color rgb="FF000000"/>
        <rFont val="宋体"/>
        <charset val="134"/>
      </rPr>
      <t>随机结果值</t>
    </r>
    <r>
      <rPr>
        <sz val="11"/>
        <color rgb="FF000000"/>
        <rFont val="宋体"/>
        <charset val="134"/>
      </rPr>
      <t>= (Random(1，随机量)*属性最低值)</t>
    </r>
  </si>
  <si>
    <t>[通用]格挡率 +3%</t>
  </si>
  <si>
    <r>
      <rPr>
        <b/>
        <sz val="11"/>
        <color rgb="FF000000"/>
        <rFont val="宋体"/>
        <charset val="134"/>
      </rPr>
      <t>颜色切换锚点</t>
    </r>
    <r>
      <rPr>
        <sz val="11"/>
        <color rgb="FF000000"/>
        <rFont val="宋体"/>
        <charset val="134"/>
      </rPr>
      <t>=属性最高值*锚点比例（固定每档20%）</t>
    </r>
  </si>
  <si>
    <t>[狂战]物理、法术攻击力 +24.8(4%)</t>
  </si>
  <si>
    <t>[青龙]水属性伤害 +0.04%</t>
  </si>
  <si>
    <t>[白虎]武力、智力 +0.9(4%)</t>
  </si>
  <si>
    <t>[通用]格挡率 +0.12%</t>
  </si>
  <si>
    <t>耐久度 99/99</t>
  </si>
  <si>
    <t>需要等级 1</t>
  </si>
  <si>
    <t>物品等级 50</t>
  </si>
  <si>
    <t>相关功能</t>
  </si>
  <si>
    <t>熔炼</t>
  </si>
  <si>
    <t>替换词条</t>
  </si>
  <si>
    <t>熔炼保护（暂不做）</t>
  </si>
  <si>
    <t>消耗金子</t>
  </si>
  <si>
    <t>保留替换时</t>
  </si>
  <si>
    <t>职业或属性值</t>
  </si>
  <si>
    <t>银子强化</t>
  </si>
  <si>
    <t>消耗银子，后期金子</t>
  </si>
  <si>
    <t>强化熔炼属性</t>
  </si>
  <si>
    <t>替换时保留强化等级</t>
  </si>
  <si>
    <t>三圣山分解</t>
  </si>
  <si>
    <t>产出兑换物</t>
  </si>
  <si>
    <t>鉴定</t>
  </si>
  <si>
    <t>解锁熔炼属性</t>
  </si>
  <si>
    <t>熔炼装备鉴定说明</t>
  </si>
  <si>
    <t>1.熔炼装备鉴定时走生成规则</t>
  </si>
  <si>
    <t>2.鉴定前为消耗品材料，右键使用弹出消耗货币提示</t>
  </si>
  <si>
    <t>3.使用后直接生成装备</t>
  </si>
  <si>
    <t>熔炼装备分解说明</t>
  </si>
  <si>
    <t>1.通过三圣山背包分解功能直接分解</t>
  </si>
  <si>
    <t>2.产出材料放置在三圣山背包中</t>
  </si>
  <si>
    <t>3.可以找NPC兑换为指定部位的原始装备箱</t>
  </si>
  <si>
    <t>4.带有强化和强化印记的装备不能被分解</t>
  </si>
  <si>
    <t>装备熔炼界面</t>
  </si>
  <si>
    <t>NPCFunction表 功能ID 111</t>
  </si>
  <si>
    <t>装备熔炼说明</t>
  </si>
  <si>
    <t>美术需求</t>
  </si>
  <si>
    <r>
      <rPr>
        <sz val="11"/>
        <color rgb="FF000000"/>
        <rFont val="宋体"/>
        <charset val="134"/>
      </rPr>
      <t>1.消耗</t>
    </r>
    <r>
      <rPr>
        <sz val="11"/>
        <color rgb="FFFF0000"/>
        <rFont val="宋体"/>
        <charset val="134"/>
      </rPr>
      <t>同部位的熔炼装备</t>
    </r>
    <r>
      <rPr>
        <sz val="11"/>
        <color rgb="FF000000"/>
        <rFont val="宋体"/>
        <charset val="134"/>
      </rPr>
      <t>，为</t>
    </r>
    <r>
      <rPr>
        <sz val="11"/>
        <color rgb="FFFF0000"/>
        <rFont val="宋体"/>
        <charset val="134"/>
      </rPr>
      <t>现有熔炼装备</t>
    </r>
    <r>
      <rPr>
        <sz val="11"/>
        <color rgb="FF000000"/>
        <rFont val="宋体"/>
        <charset val="134"/>
      </rPr>
      <t>做词条替换</t>
    </r>
  </si>
  <si>
    <t>1.背景图</t>
  </si>
  <si>
    <t>覆盖区域：界面整体背景</t>
  </si>
  <si>
    <r>
      <rPr>
        <sz val="11"/>
        <color rgb="FF000000"/>
        <rFont val="宋体"/>
        <charset val="134"/>
      </rPr>
      <t>2.熔炼后，作为素材的熔炼装备</t>
    </r>
    <r>
      <rPr>
        <sz val="11"/>
        <color rgb="FFFF0000"/>
        <rFont val="宋体"/>
        <charset val="134"/>
      </rPr>
      <t>，对应词条消失（基因数值变为0）</t>
    </r>
  </si>
  <si>
    <t>元素参考见下方参考图</t>
  </si>
  <si>
    <t>3.每次熔炼根据多选框选择的词条进行替换</t>
  </si>
  <si>
    <t>4.熔炼后素材装备放回背包，原始装备出现在成品栏位</t>
  </si>
  <si>
    <t>5.-</t>
  </si>
  <si>
    <r>
      <rPr>
        <sz val="11"/>
        <color rgb="FF000000"/>
        <rFont val="宋体"/>
        <charset val="134"/>
      </rPr>
      <t>6.如果覆盖的词条超出</t>
    </r>
    <r>
      <rPr>
        <sz val="11"/>
        <color rgb="FFFF0000"/>
        <rFont val="宋体"/>
        <charset val="134"/>
      </rPr>
      <t>原始装备</t>
    </r>
    <r>
      <rPr>
        <sz val="11"/>
        <color rgb="FF000000"/>
        <rFont val="宋体"/>
        <charset val="134"/>
      </rPr>
      <t>的最高值，则不可勾选</t>
    </r>
  </si>
  <si>
    <r>
      <rPr>
        <sz val="11"/>
        <color rgb="FF000000"/>
        <rFont val="宋体"/>
        <charset val="134"/>
      </rPr>
      <t>7.熔炼结果在未勾选词条时显示</t>
    </r>
    <r>
      <rPr>
        <sz val="11"/>
        <color rgb="FFFF0000"/>
        <rFont val="宋体"/>
        <charset val="134"/>
      </rPr>
      <t>原始装备属性</t>
    </r>
  </si>
  <si>
    <t>8.未勾选词条时，熔炼按钮置灰</t>
  </si>
  <si>
    <t>9.不能以低值覆盖高值</t>
  </si>
  <si>
    <t>10.拥有强化等级/强化印记的装备不能作为素材装备</t>
  </si>
  <si>
    <t>美术参考图</t>
  </si>
  <si>
    <t>原始装备格判定</t>
  </si>
  <si>
    <t>反馈</t>
  </si>
  <si>
    <t>提示文字</t>
  </si>
  <si>
    <t>MessageID</t>
  </si>
  <si>
    <t>放入非熔炼装备</t>
  </si>
  <si>
    <t>不可放入</t>
  </si>
  <si>
    <t>请放入熔炼装备</t>
  </si>
  <si>
    <t>素材装备格判定</t>
  </si>
  <si>
    <t>放入带有强化印记的装备</t>
  </si>
  <si>
    <t>无法放入被强化过的装备</t>
  </si>
  <si>
    <t>原始装备格为空</t>
  </si>
  <si>
    <t>请先放入原始装备</t>
  </si>
  <si>
    <t>放入的熔炼装备与原始装备不是同部位</t>
  </si>
  <si>
    <t>请放入同部位的熔炼装备</t>
  </si>
  <si>
    <t>多选框勾选判定</t>
  </si>
  <si>
    <t>素材的属性值大于原始装备的最高值</t>
  </si>
  <si>
    <t>不可勾选</t>
  </si>
  <si>
    <t>这条属性超出原装备的极限了</t>
  </si>
  <si>
    <t>素材的属性值小于原始装备的当前值</t>
  </si>
  <si>
    <t>弹字</t>
  </si>
  <si>
    <t>这条属性会降低原装备的能力</t>
  </si>
  <si>
    <t>问号TIPS文本</t>
  </si>
  <si>
    <t>熔炼：
1.可以将一件熔炼装备的词条覆盖至另一件熔炼装备上
2.两件熔炼装备必须为相同部位的熔炼装备
3.如果覆盖装备的词条超过被覆盖装备词条可承受的最高值，则不可勾选覆盖
4.如果覆盖装备的词条低于被覆盖装备当前的词条，则不可勾选覆盖
5.拥有强化等级/强化印记的装备不能作为素材装备，可以在强化继承后再覆盖
6.覆盖后，作为覆盖装备的对应词条将会消失</t>
  </si>
  <si>
    <t>熔炼鉴定界面</t>
  </si>
  <si>
    <t>熔炼解封说明</t>
  </si>
  <si>
    <r>
      <rPr>
        <sz val="11"/>
        <color rgb="FF000000"/>
        <rFont val="宋体"/>
        <charset val="134"/>
      </rPr>
      <t>1.消耗</t>
    </r>
    <r>
      <rPr>
        <sz val="11"/>
        <color rgb="FFFF0000"/>
        <rFont val="宋体"/>
        <charset val="134"/>
      </rPr>
      <t>熔炼锤</t>
    </r>
    <r>
      <rPr>
        <sz val="11"/>
        <color rgb="FF000000"/>
        <rFont val="宋体"/>
        <charset val="134"/>
      </rPr>
      <t>，为</t>
    </r>
    <r>
      <rPr>
        <sz val="11"/>
        <color rgb="FFFF0000"/>
        <rFont val="宋体"/>
        <charset val="134"/>
      </rPr>
      <t>未鉴定熔炼装备</t>
    </r>
    <r>
      <rPr>
        <sz val="11"/>
        <color rgb="FF000000"/>
        <rFont val="宋体"/>
        <charset val="134"/>
      </rPr>
      <t>做词条生成</t>
    </r>
  </si>
  <si>
    <t>2.鉴定后，作为原始装备附带熔炼词条</t>
  </si>
  <si>
    <t>3.每次熔炼消耗的鉴定道具需要在表中配置</t>
  </si>
  <si>
    <t>4.点击预览可以查看属性池</t>
  </si>
  <si>
    <r>
      <rPr>
        <sz val="11"/>
        <color rgb="FF000000"/>
        <rFont val="宋体"/>
        <charset val="134"/>
      </rPr>
      <t>5.特殊的鉴定道具会影响</t>
    </r>
    <r>
      <rPr>
        <sz val="11"/>
        <color rgb="FFFF0000"/>
        <rFont val="宋体"/>
        <charset val="134"/>
      </rPr>
      <t>可用职业</t>
    </r>
    <r>
      <rPr>
        <sz val="11"/>
        <color rgb="FF000000"/>
        <rFont val="宋体"/>
        <charset val="134"/>
      </rPr>
      <t>随机的概率</t>
    </r>
  </si>
  <si>
    <t>武器</t>
  </si>
  <si>
    <t>熔炼属性</t>
  </si>
  <si>
    <t>物理、法术攻击</t>
  </si>
  <si>
    <t>致命伤害</t>
  </si>
  <si>
    <t>对目标伤害</t>
  </si>
  <si>
    <t>水属性伤害</t>
  </si>
  <si>
    <t>火属性伤害</t>
  </si>
  <si>
    <t>光属性伤害</t>
  </si>
  <si>
    <t>暗属性伤害</t>
  </si>
  <si>
    <t>攻击加持</t>
  </si>
  <si>
    <t>武力/智力</t>
  </si>
  <si>
    <t>防御加持</t>
  </si>
  <si>
    <t>破防/破法</t>
  </si>
  <si>
    <t>精准/穿透</t>
  </si>
  <si>
    <t>格挡</t>
  </si>
  <si>
    <t>刚毅</t>
  </si>
  <si>
    <t>抵抗</t>
  </si>
  <si>
    <t>韧性</t>
  </si>
  <si>
    <t>稳固</t>
  </si>
  <si>
    <t>橙色词条</t>
  </si>
  <si>
    <t>[通用]</t>
  </si>
  <si>
    <t>[青龙]</t>
  </si>
  <si>
    <t>[白虎]</t>
  </si>
  <si>
    <t>[朱雀]</t>
  </si>
  <si>
    <t>[玄武]</t>
  </si>
  <si>
    <t>[狂战]</t>
  </si>
  <si>
    <t>[霸刀]</t>
  </si>
  <si>
    <t>[武圣]</t>
  </si>
  <si>
    <t>[魔刃]</t>
  </si>
  <si>
    <t>[七杀]</t>
  </si>
  <si>
    <t>[破军]</t>
  </si>
  <si>
    <t>[霸王]</t>
  </si>
  <si>
    <t>[贪狼]</t>
  </si>
  <si>
    <t>[技师]</t>
  </si>
  <si>
    <t>[天翔]</t>
  </si>
  <si>
    <t>[魔羽]</t>
  </si>
  <si>
    <t>[影杀]</t>
  </si>
  <si>
    <t>[术士]</t>
  </si>
  <si>
    <t>[斗魂]</t>
  </si>
  <si>
    <t>[幻魔]</t>
  </si>
  <si>
    <t>[鬼狩]</t>
  </si>
  <si>
    <t>物理、法术攻击力</t>
  </si>
  <si>
    <t>武力、智力</t>
  </si>
  <si>
    <t>精准、穿透</t>
  </si>
  <si>
    <t>破防、破法</t>
  </si>
  <si>
    <t>绿色词条</t>
  </si>
  <si>
    <t>紫色词条</t>
  </si>
  <si>
    <t>蓝色词条</t>
  </si>
  <si>
    <t>白色词条</t>
  </si>
  <si>
    <t>套装：</t>
  </si>
  <si>
    <t>战力属性</t>
  </si>
  <si>
    <t>生命值</t>
  </si>
  <si>
    <t>物理/法术攻击</t>
  </si>
  <si>
    <t>PVP属性</t>
  </si>
  <si>
    <t>黄巾起义 套装</t>
  </si>
  <si>
    <t>基础属性</t>
  </si>
  <si>
    <t>武器 第三条</t>
  </si>
  <si>
    <t>从攻击加持 改成 伤害增加</t>
  </si>
  <si>
    <t>激活熔炼强化属性效果</t>
  </si>
  <si>
    <t>防御属性</t>
  </si>
  <si>
    <t>伤害增加 改成 改成致命伤害</t>
  </si>
  <si>
    <t>防御力</t>
  </si>
  <si>
    <t>全部攻击力至</t>
  </si>
  <si>
    <t>最大值提升</t>
  </si>
  <si>
    <t>武力智力</t>
  </si>
  <si>
    <t>最大值</t>
  </si>
  <si>
    <t>物理致命</t>
  </si>
  <si>
    <t>法力值</t>
  </si>
  <si>
    <t>加持类型</t>
  </si>
  <si>
    <t>改成万分比</t>
  </si>
  <si>
    <t>数值从10-1000</t>
  </si>
  <si>
    <t>0.1-10</t>
  </si>
  <si>
    <t>法术致命</t>
  </si>
  <si>
    <t>法术防御</t>
  </si>
  <si>
    <t>物理防御</t>
  </si>
  <si>
    <t>5件防具第3条都改成 攻击加持</t>
  </si>
  <si>
    <t>上限改成10</t>
  </si>
  <si>
    <t>移动速度</t>
  </si>
  <si>
    <t>意志</t>
  </si>
  <si>
    <t>体力</t>
  </si>
  <si>
    <t>8件增加黄巾套装效果 右侧数值（特殊效果程序实现：激活熔炼强化属性效果）</t>
  </si>
  <si>
    <t>攻击速度</t>
  </si>
  <si>
    <t>随机值过低  每一项保证随机区间量是100</t>
  </si>
  <si>
    <t>最大值橙色</t>
  </si>
  <si>
    <t>属性类型</t>
  </si>
  <si>
    <t>装备等级</t>
  </si>
  <si>
    <t>增长值</t>
  </si>
  <si>
    <t>最低值</t>
  </si>
  <si>
    <t>最高值</t>
  </si>
  <si>
    <t>模拟器</t>
  </si>
  <si>
    <t>增长系数</t>
  </si>
  <si>
    <t>随机量</t>
  </si>
  <si>
    <t>极值</t>
  </si>
  <si>
    <t>强化1</t>
  </si>
  <si>
    <t>强化2</t>
  </si>
  <si>
    <t>强化3</t>
  </si>
  <si>
    <t>强化4</t>
  </si>
  <si>
    <t>强化5</t>
  </si>
  <si>
    <t>强化6</t>
  </si>
  <si>
    <t>强化7</t>
  </si>
  <si>
    <t>强化8</t>
  </si>
  <si>
    <t>强化9</t>
  </si>
  <si>
    <t>强化10</t>
  </si>
  <si>
    <t>强化11</t>
  </si>
  <si>
    <t>强化12</t>
  </si>
  <si>
    <t>强化13</t>
  </si>
  <si>
    <t>强化14</t>
  </si>
  <si>
    <t>强化15</t>
  </si>
  <si>
    <t>强化16</t>
  </si>
  <si>
    <t>强化17</t>
  </si>
  <si>
    <t>强化18</t>
  </si>
  <si>
    <t>强化19</t>
  </si>
  <si>
    <t>强化20</t>
  </si>
  <si>
    <t>战力</t>
  </si>
  <si>
    <t>致命伤害+</t>
  </si>
  <si>
    <t>光属性伤害+</t>
  </si>
  <si>
    <t>暗属性伤害+</t>
  </si>
  <si>
    <t>火属性伤害+</t>
  </si>
  <si>
    <t>水属性伤害+</t>
  </si>
  <si>
    <t>对敌人伤害</t>
  </si>
  <si>
    <t>刚毅/韧性</t>
  </si>
  <si>
    <t>稳固率+</t>
  </si>
  <si>
    <t>格挡率+</t>
  </si>
  <si>
    <t>抵抗率+</t>
  </si>
  <si>
    <t>基础</t>
  </si>
  <si>
    <t>当前最大</t>
  </si>
  <si>
    <t>单件投放</t>
  </si>
  <si>
    <t>基础属性投放</t>
  </si>
  <si>
    <t>熔炼属性投放</t>
  </si>
  <si>
    <t>套装属性投放</t>
  </si>
  <si>
    <t>0强化最大值</t>
  </si>
  <si>
    <t>分散件数值</t>
  </si>
  <si>
    <t>公式用，勿动</t>
  </si>
  <si>
    <t>火属性抗性</t>
  </si>
  <si>
    <t>水属性抗性</t>
  </si>
  <si>
    <t>黄巾套</t>
  </si>
  <si>
    <t>光属性抗性</t>
  </si>
  <si>
    <t>暗属性抗性</t>
  </si>
  <si>
    <t>强化等级</t>
  </si>
  <si>
    <t>熔炼属性提升</t>
  </si>
  <si>
    <t>强化+1</t>
  </si>
  <si>
    <t>强化+2</t>
  </si>
  <si>
    <t>强化+3</t>
  </si>
  <si>
    <t>强化+4</t>
  </si>
  <si>
    <t>强化+5</t>
  </si>
  <si>
    <t>光属性抵抗</t>
  </si>
  <si>
    <t>强化+6</t>
  </si>
  <si>
    <t>暗属性抵抗</t>
  </si>
  <si>
    <t>强化+7</t>
  </si>
  <si>
    <t>火属性抵抗</t>
  </si>
  <si>
    <t>强化+8</t>
  </si>
  <si>
    <t>水属性抵抗</t>
  </si>
  <si>
    <t>强化+9</t>
  </si>
  <si>
    <t>职业专属套</t>
  </si>
  <si>
    <t>强化+10</t>
  </si>
  <si>
    <t>强化+11</t>
  </si>
  <si>
    <t>强化+12</t>
  </si>
  <si>
    <t>强化+13</t>
  </si>
  <si>
    <t>强化+14</t>
  </si>
  <si>
    <t>强化+15</t>
  </si>
  <si>
    <t>强化+16</t>
  </si>
  <si>
    <t>强化+17</t>
  </si>
  <si>
    <t>强化+18</t>
  </si>
  <si>
    <t>强化+19</t>
  </si>
  <si>
    <t>稳固率</t>
  </si>
  <si>
    <t>强化+20</t>
  </si>
  <si>
    <t>格挡率</t>
  </si>
  <si>
    <t>抵抗率</t>
  </si>
  <si>
    <t>精准率/穿透率</t>
  </si>
  <si>
    <t>套装属性</t>
  </si>
  <si>
    <t>对敌人伤害增加</t>
  </si>
  <si>
    <t>熔炼词条</t>
  </si>
  <si>
    <t>分类</t>
  </si>
  <si>
    <t>属性值比例</t>
  </si>
  <si>
    <t>最高强化收益</t>
  </si>
  <si>
    <t>词条随机范围</t>
  </si>
  <si>
    <t>最小随机范围</t>
  </si>
  <si>
    <t>居中值</t>
  </si>
  <si>
    <t>最大随机范围</t>
  </si>
  <si>
    <t>强化满后
最小随机值</t>
  </si>
  <si>
    <t>强化满后
最大随机值</t>
  </si>
  <si>
    <t>蓝</t>
  </si>
  <si>
    <t>强化加成</t>
  </si>
  <si>
    <t>属性</t>
  </si>
  <si>
    <t>套装效果</t>
  </si>
  <si>
    <t>总和</t>
  </si>
  <si>
    <t>乘算结果</t>
  </si>
  <si>
    <t>百分比收益</t>
  </si>
  <si>
    <t>武器强化印记</t>
  </si>
  <si>
    <t>武器攻击力提升</t>
  </si>
  <si>
    <t>物理攻击</t>
  </si>
  <si>
    <t>法术攻击</t>
  </si>
  <si>
    <t>武力</t>
  </si>
  <si>
    <t>智力</t>
  </si>
  <si>
    <t>精准率</t>
  </si>
  <si>
    <t>穿透率</t>
  </si>
  <si>
    <t>破防</t>
  </si>
  <si>
    <t>破法</t>
  </si>
  <si>
    <t>方案A</t>
  </si>
  <si>
    <t>先判断是通用/职业，如果是职业再判断是4/16，再判断详细职业</t>
  </si>
  <si>
    <t>通用/4职业/16职业分池，掉落时先随机池，再随属性</t>
  </si>
  <si>
    <t>原始概率</t>
  </si>
  <si>
    <t>词条</t>
  </si>
  <si>
    <t>一次掉落</t>
  </si>
  <si>
    <t>二次掉落</t>
  </si>
  <si>
    <t>可用概率</t>
  </si>
  <si>
    <t>不可用概率</t>
  </si>
  <si>
    <t>-</t>
  </si>
  <si>
    <t>偏新手概率</t>
  </si>
  <si>
    <t>偏后期概率</t>
  </si>
  <si>
    <t>部位</t>
  </si>
  <si>
    <t>攻击力</t>
  </si>
  <si>
    <t>破双防</t>
  </si>
  <si>
    <t>四维</t>
  </si>
  <si>
    <t>首饰x3</t>
  </si>
  <si>
    <t>刚毅 人性</t>
  </si>
  <si>
    <t>穿透</t>
  </si>
  <si>
    <t>抵抗格挡</t>
  </si>
  <si>
    <t>jiji</t>
  </si>
  <si>
    <t>随机量控制</t>
  </si>
  <si>
    <t>ID</t>
  </si>
  <si>
    <t>装备ID</t>
  </si>
  <si>
    <t>装备名称</t>
  </si>
  <si>
    <t>装备分类</t>
  </si>
  <si>
    <t>装备属性组ID</t>
  </si>
  <si>
    <t>增长系数1</t>
  </si>
  <si>
    <t>随机量1</t>
  </si>
  <si>
    <t>增长系数2</t>
  </si>
  <si>
    <t>随机量2</t>
  </si>
  <si>
    <t>增长系数3</t>
  </si>
  <si>
    <t>随机量3</t>
  </si>
  <si>
    <t>增长系数4</t>
  </si>
  <si>
    <t>随机量4</t>
  </si>
  <si>
    <t>职业池ID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</si>
  <si>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</si>
  <si>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</si>
  <si>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</si>
  <si>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</si>
  <si>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</si>
  <si>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</si>
  <si>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</si>
  <si>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</si>
  <si>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</si>
  <si>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</si>
  <si>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</si>
  <si>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</si>
  <si>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</si>
  <si>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</si>
  <si>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</si>
  <si>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可用职业池</t>
  </si>
  <si>
    <t>池ID</t>
  </si>
  <si>
    <t>池内容A</t>
  </si>
  <si>
    <t>池内容B</t>
  </si>
  <si>
    <t>池内容C</t>
  </si>
  <si>
    <t>池内容D</t>
  </si>
  <si>
    <t>青龙</t>
  </si>
  <si>
    <t>白虎</t>
  </si>
  <si>
    <t>朱雀</t>
  </si>
  <si>
    <t>玄武</t>
  </si>
  <si>
    <t>武圣</t>
  </si>
  <si>
    <t>霸刀</t>
  </si>
  <si>
    <t>狂战</t>
  </si>
  <si>
    <t>魔刃</t>
  </si>
  <si>
    <t>破军</t>
  </si>
  <si>
    <t>霸王</t>
  </si>
  <si>
    <t>七杀</t>
  </si>
  <si>
    <t>贪狼</t>
  </si>
  <si>
    <t>魔羽</t>
  </si>
  <si>
    <t>技师</t>
  </si>
  <si>
    <t>天翔</t>
  </si>
  <si>
    <t>影杀</t>
  </si>
  <si>
    <t>术士</t>
  </si>
  <si>
    <t>鬼狩</t>
  </si>
  <si>
    <t>斗魂</t>
  </si>
  <si>
    <t>幻魔</t>
  </si>
  <si>
    <t>熔炼属性组</t>
  </si>
  <si>
    <t>属性组ID</t>
  </si>
  <si>
    <t>部位备注</t>
  </si>
  <si>
    <t>属性基因A</t>
  </si>
  <si>
    <t>属性基因B</t>
  </si>
  <si>
    <t>属性基因C</t>
  </si>
  <si>
    <t>属性基因D</t>
  </si>
  <si>
    <t>需求：</t>
  </si>
  <si>
    <t>颜色锚点配置</t>
  </si>
  <si>
    <t>（写死）</t>
  </si>
  <si>
    <t>锚点值</t>
  </si>
  <si>
    <t>颜色</t>
  </si>
  <si>
    <t>白</t>
  </si>
  <si>
    <t>紫</t>
  </si>
  <si>
    <t>绿</t>
  </si>
  <si>
    <t>橙</t>
  </si>
  <si>
    <t>特殊鉴定概率</t>
  </si>
  <si>
    <t>道具ID</t>
  </si>
  <si>
    <t>霸刀熔炼石</t>
  </si>
  <si>
    <t>在[加工商人]张世平的银子强化UI界面增加新的标签页</t>
  </si>
  <si>
    <t>原始装备格判定：</t>
  </si>
  <si>
    <t>放入装备需要带有强化等级/强化印记</t>
  </si>
  <si>
    <t>放入装备的装备等级需要&gt;50级</t>
  </si>
  <si>
    <t>如果继承装备格已被放入，放入的装备需要与其装备部位相同</t>
  </si>
  <si>
    <t>例如：已经放入的是一件裤子部位防具，则其他部位不能放入</t>
  </si>
  <si>
    <t>继承装备格判定：</t>
  </si>
  <si>
    <t>放入装备不能带有强化等级/强化印记</t>
  </si>
  <si>
    <t>如果原始装备格已被放入，放入的装备需要与其装备部位相同</t>
  </si>
  <si>
    <t>熔炼装备转移需相同角色的专属装备可使用继承功能，非专属装备不可使用强化继承功能</t>
  </si>
  <si>
    <t>继承后给他原装备删掉 不用弄次数限制了  加提示</t>
  </si>
  <si>
    <t>点击确认转移按钮</t>
  </si>
  <si>
    <t>如果玩家货币不够，则弹窗提示玩家**不够</t>
  </si>
  <si>
    <t>例如：您的银子数量不够</t>
  </si>
  <si>
    <t>成功转移后，装备转移到对应的下方成品栏位</t>
  </si>
  <si>
    <t>转移效果</t>
  </si>
  <si>
    <t>原始装备的强化印记和强化等级和充能概率转移到继承装备上</t>
  </si>
  <si>
    <t>1. 破军 - 董卓（魔王董卓套装）：黑暗、防御、吸血</t>
  </si>
  <si>
    <t>2. 贪狼 - 吕布（无双吕布套装）：高攻、暴击、速度</t>
  </si>
  <si>
    <t>张梁</t>
  </si>
  <si>
    <t>曲阳之战</t>
  </si>
  <si>
    <t>张宝</t>
  </si>
  <si>
    <t>广宗之战</t>
  </si>
  <si>
    <t>3. 七杀 - 张飞（咆哮张飞套装）：范围攻击、怒吼减防</t>
  </si>
  <si>
    <t>张角</t>
  </si>
  <si>
    <t>邺城守卫战</t>
  </si>
  <si>
    <t>4. 武曲 - 关羽（武圣关羽套装）：暴击、单体高伤</t>
  </si>
  <si>
    <t>华雄</t>
  </si>
  <si>
    <t>汜水关</t>
  </si>
  <si>
    <t>专属熔炼</t>
  </si>
  <si>
    <t>吕布</t>
  </si>
  <si>
    <t>虎牢关</t>
  </si>
  <si>
    <t>5. 天机 - 诸葛亮（卧龙诸葛亮套装）：法术、控制、辅助</t>
  </si>
  <si>
    <t>董卓</t>
  </si>
  <si>
    <t>火烧洛阳</t>
  </si>
  <si>
    <t>项羽</t>
  </si>
  <si>
    <t>洛阳帝陵</t>
  </si>
  <si>
    <t>霸王项羽·头盔</t>
  </si>
  <si>
    <t>西楚霸王套装</t>
  </si>
  <si>
    <t>6. 廉贞 - 赵云（龙胆赵云套装）：敏捷、闪避、连击</t>
  </si>
  <si>
    <t>李儒</t>
  </si>
  <si>
    <t>突袭长安</t>
  </si>
  <si>
    <t>董卓歼灭战</t>
  </si>
  <si>
    <t>祸世董卓·头盔</t>
  </si>
  <si>
    <t>乱世魔王套装</t>
  </si>
  <si>
    <t>7. 天府 - 曹操（枭雄曹操套装）：领导、群体增益</t>
  </si>
  <si>
    <t>李傕、郭汜</t>
  </si>
  <si>
    <t>长安守卫战</t>
  </si>
  <si>
    <t>高顺</t>
  </si>
  <si>
    <t>濮阳之战</t>
  </si>
  <si>
    <t>8. 太阴 - 司马懿（冢虎司马懿套装）：持续伤害、毒</t>
  </si>
  <si>
    <t>典韦</t>
  </si>
  <si>
    <t>宛城之战</t>
  </si>
  <si>
    <t>恶来典韦·头盔</t>
  </si>
  <si>
    <t>古之恶来套装</t>
  </si>
  <si>
    <t>貂婵</t>
  </si>
  <si>
    <t>下邳之战</t>
  </si>
  <si>
    <t>9. 太阳 - 孙策（小霸王孙策套装）：冲锋、高攻速</t>
  </si>
  <si>
    <t>袁术</t>
  </si>
  <si>
    <t>寿春之战</t>
  </si>
  <si>
    <t>颜良</t>
  </si>
  <si>
    <t>白马之战</t>
  </si>
  <si>
    <t>10. 天相 - 周瑜（赤壁周瑜套装）：火攻、范围伤害</t>
  </si>
  <si>
    <t>文丑</t>
  </si>
  <si>
    <t>延津之战</t>
  </si>
  <si>
    <t>淳于琼</t>
  </si>
  <si>
    <t>夜袭乌巢</t>
  </si>
  <si>
    <t>11. 天梁 - 黄忠（神射黄忠套装）：远程、暴击</t>
  </si>
  <si>
    <t>袁绍</t>
  </si>
  <si>
    <t>官渡之战</t>
  </si>
  <si>
    <t>郭嘉</t>
  </si>
  <si>
    <t>冀州决战</t>
  </si>
  <si>
    <t>12. 巨门 - 典韦（恶来典韦套装）：防御、反伤</t>
  </si>
  <si>
    <t>夏侯惇</t>
  </si>
  <si>
    <t>火烧博望坡</t>
  </si>
  <si>
    <t>许诸</t>
  </si>
  <si>
    <t>火烧新野</t>
  </si>
  <si>
    <t>虎痴许褚·头盔</t>
  </si>
  <si>
    <t>震世虎侯套装</t>
  </si>
  <si>
    <t>13. 文曲 - 郭嘉（鬼才郭嘉套装）：法术、减CD</t>
  </si>
  <si>
    <t>曹仁</t>
  </si>
  <si>
    <t>白河之战</t>
  </si>
  <si>
    <t>张郃</t>
  </si>
  <si>
    <t>血战长板坡</t>
  </si>
  <si>
    <t>14. 禄存 - 孙权（江东孙权套装）：资源增益、经济</t>
  </si>
  <si>
    <t>夏侯杰、夏侯德、夏侯尚</t>
  </si>
  <si>
    <t>当阳桥之战</t>
  </si>
  <si>
    <t>蔡瑁、张允</t>
  </si>
  <si>
    <t>三江口之战</t>
  </si>
  <si>
    <t>15. 擎羊 - 马超（西凉马超套装）：骑兵、冲锋</t>
  </si>
  <si>
    <t>张辽</t>
  </si>
  <si>
    <t>草船借箭</t>
  </si>
  <si>
    <t>徐晃</t>
  </si>
  <si>
    <t>借东风</t>
  </si>
  <si>
    <t>16. 陀罗 - 贾诩（毒士贾诩套装）：混乱、控场</t>
  </si>
  <si>
    <t>曹操</t>
  </si>
  <si>
    <t>火烧赤壁</t>
  </si>
  <si>
    <t>关羽</t>
  </si>
  <si>
    <t>华容道</t>
  </si>
  <si>
    <t>诸葛亮</t>
  </si>
  <si>
    <t>只有贪狼属性</t>
  </si>
  <si>
    <t>熔炼 基础 和套装 属性上限 比黄巾套提升20%</t>
  </si>
  <si>
    <t>第二章 董卓歼灭战 炼狱模式产出</t>
  </si>
  <si>
    <t>第二章炼狱模式 设计10w战力才能进入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</si>
</sst>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  <numFmt numFmtId="178" formatCode="0.00_ "/>
    <numFmt numFmtId="179" formatCode="0.000_ "/>
    <numFmt numFmtId="180" formatCode="0&quot;.&quot;0,&quot;万&quot;"/>
  </numFmts>
  <fonts count="68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color rgb="FFA6A6A6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FF0000"/>
      <name val="等线"/>
      <charset val="134"/>
    </font>
    <font>
      <sz val="11"/>
      <color rgb="FF000000"/>
      <name val="等线"/>
      <charset val="134"/>
    </font>
    <font>
      <sz val="11"/>
      <color rgb="FFC00000"/>
      <name val="等线"/>
      <charset val="134"/>
    </font>
    <font>
      <b/>
      <sz val="11"/>
      <color rgb="FFFF0000"/>
      <name val="宋体"/>
      <charset val="134"/>
      <scheme val="minor"/>
    </font>
    <font>
      <sz val="12"/>
      <name val="宋体"/>
      <charset val="134"/>
    </font>
    <font>
      <b/>
      <sz val="11"/>
      <color rgb="FF000000"/>
      <name val="宋体"/>
      <charset val="134"/>
      <scheme val="minor"/>
    </font>
    <font>
      <b/>
      <sz val="11"/>
      <color rgb="FFFF0000"/>
      <name val="宋体"/>
      <charset val="134"/>
    </font>
    <font>
      <sz val="11"/>
      <color rgb="FFFF0000"/>
      <name val="宋体"/>
      <charset val="134"/>
    </font>
    <font>
      <b/>
      <sz val="11"/>
      <color rgb="FF000000"/>
      <name val="等线"/>
      <charset val="134"/>
    </font>
    <font>
      <sz val="11"/>
      <name val="等线"/>
      <charset val="134"/>
    </font>
    <font>
      <b/>
      <sz val="11"/>
      <color rgb="FFFFFFFF"/>
      <name val="宋体"/>
      <charset val="134"/>
    </font>
    <font>
      <b/>
      <sz val="11"/>
      <color theme="0"/>
      <name val="宋体"/>
      <charset val="134"/>
      <scheme val="minor"/>
    </font>
    <font>
      <b/>
      <sz val="11"/>
      <color rgb="FF0D0D0D"/>
      <name val="宋体"/>
      <charset val="134"/>
    </font>
    <font>
      <b/>
      <sz val="11"/>
      <color rgb="FF0D0D0D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8"/>
      <color rgb="FF000000"/>
      <name val="宋体"/>
      <charset val="134"/>
    </font>
    <font>
      <strike/>
      <sz val="11"/>
      <color rgb="FFFF0000"/>
      <name val="宋体"/>
      <charset val="134"/>
    </font>
    <font>
      <strike/>
      <sz val="11"/>
      <color rgb="FF000000"/>
      <name val="宋体"/>
      <charset val="134"/>
    </font>
    <font>
      <b/>
      <strike/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z val="11"/>
      <color rgb="FFFFC000"/>
      <name val="宋体"/>
      <charset val="134"/>
    </font>
    <font>
      <sz val="11"/>
      <color rgb="FFFFFFFF"/>
      <name val="宋体"/>
      <charset val="134"/>
    </font>
    <font>
      <sz val="11"/>
      <color rgb="FFFFFFFF"/>
      <name val="宋体"/>
      <charset val="134"/>
      <scheme val="minor"/>
    </font>
    <font>
      <sz val="11"/>
      <color rgb="FFFFD966"/>
      <name val="宋体"/>
      <charset val="134"/>
    </font>
    <font>
      <b/>
      <sz val="11"/>
      <color rgb="FFE59F21"/>
      <name val="宋体"/>
      <charset val="134"/>
    </font>
    <font>
      <sz val="11"/>
      <color rgb="FF00B050"/>
      <name val="宋体"/>
      <charset val="134"/>
    </font>
    <font>
      <sz val="11"/>
      <color rgb="FF00B0F0"/>
      <name val="宋体"/>
      <charset val="134"/>
    </font>
    <font>
      <sz val="11"/>
      <color rgb="FF9241FB"/>
      <name val="宋体"/>
      <charset val="134"/>
    </font>
    <font>
      <sz val="11"/>
      <color rgb="FFBFBFBF"/>
      <name val="宋体"/>
      <charset val="134"/>
      <scheme val="minor"/>
    </font>
    <font>
      <sz val="11"/>
      <color rgb="FFBFBFBF"/>
      <name val="宋体"/>
      <charset val="134"/>
    </font>
    <font>
      <strike/>
      <sz val="11"/>
      <color rgb="FFBFBFBF"/>
      <name val="宋体"/>
      <charset val="134"/>
    </font>
    <font>
      <b/>
      <u/>
      <sz val="11"/>
      <color rgb="FF00B0F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trike/>
      <sz val="11"/>
      <color rgb="FFFFFFFF"/>
      <name val="宋体"/>
      <charset val="134"/>
    </font>
    <font>
      <b/>
      <strike/>
      <sz val="11"/>
      <color rgb="FF000000"/>
      <name val="宋体"/>
      <charset val="134"/>
    </font>
    <font>
      <b/>
      <strike/>
      <sz val="11"/>
      <color rgb="FF808080"/>
      <name val="宋体"/>
      <charset val="134"/>
    </font>
    <font>
      <b/>
      <strike/>
      <sz val="11"/>
      <color rgb="FFFF0000"/>
      <name val="宋体"/>
      <charset val="134"/>
    </font>
    <font>
      <b/>
      <sz val="11"/>
      <color rgb="FF00B0F0"/>
      <name val="宋体"/>
      <charset val="134"/>
    </font>
    <font>
      <b/>
      <sz val="11"/>
      <color rgb="FF00B050"/>
      <name val="宋体"/>
      <charset val="134"/>
    </font>
    <font>
      <sz val="9"/>
      <name val="宋体"/>
      <charset val="0"/>
    </font>
    <font>
      <b/>
      <sz val="9"/>
      <name val="宋体"/>
      <charset val="0"/>
    </font>
  </fonts>
  <fills count="68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FABA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00B0F0"/>
        <bgColor indexed="64"/>
      </patternFill>
    </fill>
    <fill>
      <patternFill patternType="solid">
        <fgColor rgb="FF8C99E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6" tint="0.599993896298105"/>
        <bgColor theme="6" tint="0.599993896298105"/>
      </patternFill>
    </fill>
    <fill>
      <patternFill patternType="solid">
        <fgColor rgb="FF9DC3E6"/>
        <bgColor indexed="64"/>
      </patternFill>
    </fill>
    <fill>
      <patternFill patternType="solid">
        <fgColor rgb="FF03252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6" tint="0.399975585192419"/>
      </left>
      <right style="thin">
        <color theme="6" tint="0.399975585192419"/>
      </right>
      <top style="thin">
        <color theme="6" tint="0.399975585192419"/>
      </top>
      <bottom style="thin">
        <color theme="6" tint="0.39997558519241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theme="5"/>
      </right>
      <top style="thin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/>
      <right style="thin">
        <color theme="5"/>
      </right>
      <top style="medium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medium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38" borderId="62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63" applyNumberFormat="0" applyFill="0" applyAlignment="0" applyProtection="0">
      <alignment vertical="center"/>
    </xf>
    <xf numFmtId="0" fontId="47" fillId="0" borderId="63" applyNumberFormat="0" applyFill="0" applyAlignment="0" applyProtection="0">
      <alignment vertical="center"/>
    </xf>
    <xf numFmtId="0" fontId="48" fillId="0" borderId="64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39" borderId="65" applyNumberFormat="0" applyAlignment="0" applyProtection="0">
      <alignment vertical="center"/>
    </xf>
    <xf numFmtId="0" fontId="50" fillId="28" borderId="66" applyNumberFormat="0" applyAlignment="0" applyProtection="0">
      <alignment vertical="center"/>
    </xf>
    <xf numFmtId="0" fontId="51" fillId="28" borderId="65" applyNumberFormat="0" applyAlignment="0" applyProtection="0">
      <alignment vertical="center"/>
    </xf>
    <xf numFmtId="0" fontId="52" fillId="40" borderId="67" applyNumberFormat="0" applyAlignment="0" applyProtection="0">
      <alignment vertical="center"/>
    </xf>
    <xf numFmtId="0" fontId="53" fillId="0" borderId="68" applyNumberFormat="0" applyFill="0" applyAlignment="0" applyProtection="0">
      <alignment vertical="center"/>
    </xf>
    <xf numFmtId="0" fontId="54" fillId="0" borderId="69" applyNumberFormat="0" applyFill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2" borderId="0" applyNumberFormat="0" applyBorder="0" applyAlignment="0" applyProtection="0">
      <alignment vertical="center"/>
    </xf>
    <xf numFmtId="0" fontId="58" fillId="63" borderId="0" applyNumberFormat="0" applyBorder="0" applyAlignment="0" applyProtection="0">
      <alignment vertical="center"/>
    </xf>
    <xf numFmtId="0" fontId="58" fillId="64" borderId="0" applyNumberFormat="0" applyBorder="0" applyAlignment="0" applyProtection="0">
      <alignment vertical="center"/>
    </xf>
    <xf numFmtId="0" fontId="59" fillId="65" borderId="0" applyNumberFormat="0" applyBorder="0" applyAlignment="0" applyProtection="0">
      <alignment vertical="center"/>
    </xf>
    <xf numFmtId="0" fontId="59" fillId="66" borderId="0" applyNumberFormat="0" applyBorder="0" applyAlignment="0" applyProtection="0">
      <alignment vertical="center"/>
    </xf>
    <xf numFmtId="0" fontId="58" fillId="67" borderId="0" applyNumberFormat="0" applyBorder="0" applyAlignment="0" applyProtection="0">
      <alignment vertical="center"/>
    </xf>
  </cellStyleXfs>
  <cellXfs count="513">
    <xf numFmtId="0" fontId="0" fillId="0" borderId="0" xfId="0">
      <alignment vertical="center"/>
    </xf>
    <xf numFmtId="0" fontId="1" fillId="0" borderId="0" xfId="0" applyFont="1">
      <alignment vertical="center"/>
    </xf>
    <xf numFmtId="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0" fontId="0" fillId="2" borderId="2" xfId="0" applyFill="1" applyBorder="1">
      <alignment vertical="center"/>
    </xf>
    <xf numFmtId="3" fontId="3" fillId="0" borderId="0" xfId="0" applyNumberFormat="1" applyFont="1" applyAlignment="1"/>
    <xf numFmtId="0" fontId="3" fillId="3" borderId="1" xfId="0" applyFont="1" applyFill="1" applyBorder="1" applyAlignment="1"/>
    <xf numFmtId="3" fontId="3" fillId="3" borderId="0" xfId="0" applyNumberFormat="1" applyFont="1" applyFill="1" applyAlignment="1"/>
    <xf numFmtId="0" fontId="5" fillId="3" borderId="0" xfId="0" applyFont="1" applyFill="1" applyAlignment="1"/>
    <xf numFmtId="0" fontId="3" fillId="0" borderId="1" xfId="0" applyFont="1" applyFill="1" applyBorder="1" applyAlignment="1"/>
    <xf numFmtId="3" fontId="3" fillId="0" borderId="0" xfId="0" applyNumberFormat="1" applyFont="1" applyFill="1" applyAlignment="1"/>
    <xf numFmtId="0" fontId="5" fillId="0" borderId="0" xfId="0" applyFont="1" applyFill="1" applyAlignment="1"/>
    <xf numFmtId="0" fontId="6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0" fontId="5" fillId="4" borderId="0" xfId="0" applyFont="1" applyFill="1" applyAlignment="1"/>
    <xf numFmtId="0" fontId="6" fillId="0" borderId="0" xfId="0" applyFont="1">
      <alignment vertical="center"/>
    </xf>
    <xf numFmtId="0" fontId="7" fillId="3" borderId="1" xfId="0" applyFont="1" applyFill="1" applyBorder="1" applyAlignment="1"/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7" fillId="3" borderId="3" xfId="0" applyFont="1" applyFill="1" applyBorder="1" applyAlignment="1"/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" fillId="0" borderId="4" xfId="0" applyFont="1" applyBorder="1">
      <alignment vertical="center"/>
    </xf>
    <xf numFmtId="0" fontId="8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0" fillId="3" borderId="8" xfId="0" applyFill="1" applyBorder="1">
      <alignment vertical="center"/>
    </xf>
    <xf numFmtId="0" fontId="1" fillId="5" borderId="2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6" borderId="2" xfId="0" applyFont="1" applyFill="1" applyBorder="1">
      <alignment vertical="center"/>
    </xf>
    <xf numFmtId="0" fontId="1" fillId="0" borderId="2" xfId="0" applyFont="1" applyBorder="1">
      <alignment vertical="center"/>
    </xf>
    <xf numFmtId="0" fontId="0" fillId="0" borderId="2" xfId="0" applyBorder="1">
      <alignment vertical="center"/>
    </xf>
    <xf numFmtId="9" fontId="0" fillId="0" borderId="2" xfId="0" applyNumberFormat="1" applyBorder="1">
      <alignment vertical="center"/>
    </xf>
    <xf numFmtId="0" fontId="1" fillId="7" borderId="0" xfId="0" applyFont="1" applyFill="1">
      <alignment vertical="center"/>
    </xf>
    <xf numFmtId="0" fontId="0" fillId="7" borderId="0" xfId="0" applyFill="1">
      <alignment vertical="center"/>
    </xf>
    <xf numFmtId="0" fontId="1" fillId="7" borderId="2" xfId="0" applyFont="1" applyFill="1" applyBorder="1">
      <alignment vertical="center"/>
    </xf>
    <xf numFmtId="0" fontId="0" fillId="7" borderId="2" xfId="0" applyFill="1" applyBorder="1">
      <alignment vertical="center"/>
    </xf>
    <xf numFmtId="10" fontId="8" fillId="8" borderId="2" xfId="0" applyNumberFormat="1" applyFont="1" applyFill="1" applyBorder="1">
      <alignment vertical="center"/>
    </xf>
    <xf numFmtId="10" fontId="8" fillId="8" borderId="12" xfId="0" applyNumberFormat="1" applyFont="1" applyFill="1" applyBorder="1">
      <alignment vertical="center"/>
    </xf>
    <xf numFmtId="0" fontId="8" fillId="8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0" fontId="1" fillId="8" borderId="2" xfId="0" applyNumberFormat="1" applyFon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176" fontId="10" fillId="8" borderId="12" xfId="0" applyNumberFormat="1" applyFont="1" applyFill="1" applyBorder="1" applyAlignment="1">
      <alignment horizontal="center" vertical="center"/>
    </xf>
    <xf numFmtId="176" fontId="10" fillId="8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176" fontId="10" fillId="3" borderId="2" xfId="0" applyNumberFormat="1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10" fontId="10" fillId="8" borderId="2" xfId="0" applyNumberFormat="1" applyFont="1" applyFill="1" applyBorder="1" applyAlignment="1">
      <alignment horizontal="center" vertical="center"/>
    </xf>
    <xf numFmtId="177" fontId="10" fillId="8" borderId="2" xfId="0" applyNumberFormat="1" applyFont="1" applyFill="1" applyBorder="1" applyAlignment="1">
      <alignment horizontal="center" vertical="center"/>
    </xf>
    <xf numFmtId="177" fontId="10" fillId="3" borderId="2" xfId="0" applyNumberFormat="1" applyFont="1" applyFill="1" applyBorder="1" applyAlignment="1">
      <alignment horizontal="center" vertical="center"/>
    </xf>
    <xf numFmtId="0" fontId="0" fillId="3" borderId="0" xfId="0" applyNumberFormat="1" applyFill="1">
      <alignment vertical="center"/>
    </xf>
    <xf numFmtId="0" fontId="11" fillId="8" borderId="2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8" fillId="9" borderId="15" xfId="0" applyFont="1" applyFill="1" applyBorder="1" applyAlignment="1">
      <alignment horizontal="center" vertical="center" wrapText="1"/>
    </xf>
    <xf numFmtId="0" fontId="1" fillId="0" borderId="16" xfId="0" applyFont="1" applyBorder="1">
      <alignment vertical="center"/>
    </xf>
    <xf numFmtId="9" fontId="12" fillId="0" borderId="2" xfId="0" applyNumberFormat="1" applyFont="1" applyBorder="1">
      <alignment vertical="center"/>
    </xf>
    <xf numFmtId="10" fontId="0" fillId="0" borderId="17" xfId="0" applyNumberFormat="1" applyBorder="1">
      <alignment vertical="center"/>
    </xf>
    <xf numFmtId="9" fontId="0" fillId="0" borderId="17" xfId="0" applyNumberFormat="1" applyBorder="1">
      <alignment vertical="center"/>
    </xf>
    <xf numFmtId="0" fontId="1" fillId="0" borderId="18" xfId="0" applyFont="1" applyBorder="1">
      <alignment vertical="center"/>
    </xf>
    <xf numFmtId="9" fontId="0" fillId="0" borderId="19" xfId="0" applyNumberFormat="1" applyBorder="1">
      <alignment vertical="center"/>
    </xf>
    <xf numFmtId="10" fontId="0" fillId="0" borderId="20" xfId="0" applyNumberFormat="1" applyBorder="1">
      <alignment vertical="center"/>
    </xf>
    <xf numFmtId="10" fontId="0" fillId="0" borderId="0" xfId="0" applyNumberFormat="1">
      <alignment vertical="center"/>
    </xf>
    <xf numFmtId="10" fontId="0" fillId="0" borderId="2" xfId="0" applyNumberFormat="1" applyBorder="1">
      <alignment vertical="center"/>
    </xf>
    <xf numFmtId="0" fontId="8" fillId="9" borderId="21" xfId="0" applyFont="1" applyFill="1" applyBorder="1" applyAlignment="1">
      <alignment horizontal="center" vertical="center"/>
    </xf>
    <xf numFmtId="0" fontId="8" fillId="9" borderId="22" xfId="0" applyFont="1" applyFill="1" applyBorder="1" applyAlignment="1">
      <alignment horizontal="center" vertical="center"/>
    </xf>
    <xf numFmtId="0" fontId="8" fillId="9" borderId="23" xfId="0" applyFont="1" applyFill="1" applyBorder="1" applyAlignment="1">
      <alignment horizontal="center" vertical="center"/>
    </xf>
    <xf numFmtId="0" fontId="8" fillId="9" borderId="24" xfId="0" applyFont="1" applyFill="1" applyBorder="1" applyAlignment="1">
      <alignment horizontal="center" vertical="center"/>
    </xf>
    <xf numFmtId="0" fontId="8" fillId="9" borderId="25" xfId="0" applyFont="1" applyFill="1" applyBorder="1" applyAlignment="1">
      <alignment horizontal="center" vertical="center"/>
    </xf>
    <xf numFmtId="0" fontId="10" fillId="10" borderId="26" xfId="0" applyFont="1" applyFill="1" applyBorder="1" applyAlignment="1">
      <alignment horizontal="center" vertical="center"/>
    </xf>
    <xf numFmtId="0" fontId="0" fillId="6" borderId="27" xfId="0" applyFill="1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10" fontId="0" fillId="0" borderId="26" xfId="0" applyNumberFormat="1" applyBorder="1">
      <alignment vertical="center"/>
    </xf>
    <xf numFmtId="10" fontId="0" fillId="0" borderId="27" xfId="0" applyNumberFormat="1" applyBorder="1">
      <alignment vertical="center"/>
    </xf>
    <xf numFmtId="10" fontId="0" fillId="0" borderId="28" xfId="0" applyNumberFormat="1" applyBorder="1">
      <alignment vertical="center"/>
    </xf>
    <xf numFmtId="10" fontId="0" fillId="0" borderId="30" xfId="0" applyNumberFormat="1" applyBorder="1">
      <alignment vertical="center"/>
    </xf>
    <xf numFmtId="10" fontId="0" fillId="0" borderId="29" xfId="0" applyNumberFormat="1" applyBorder="1">
      <alignment vertical="center"/>
    </xf>
    <xf numFmtId="0" fontId="10" fillId="10" borderId="16" xfId="0" applyFont="1" applyFill="1" applyBorder="1" applyAlignment="1">
      <alignment horizontal="center" vertical="center"/>
    </xf>
    <xf numFmtId="0" fontId="0" fillId="6" borderId="2" xfId="0" applyFill="1" applyBorder="1">
      <alignment vertical="center"/>
    </xf>
    <xf numFmtId="0" fontId="0" fillId="0" borderId="12" xfId="0" applyBorder="1">
      <alignment vertical="center"/>
    </xf>
    <xf numFmtId="0" fontId="0" fillId="0" borderId="31" xfId="0" applyBorder="1">
      <alignment vertical="center"/>
    </xf>
    <xf numFmtId="10" fontId="0" fillId="0" borderId="16" xfId="0" applyNumberFormat="1" applyBorder="1">
      <alignment vertical="center"/>
    </xf>
    <xf numFmtId="10" fontId="0" fillId="0" borderId="12" xfId="0" applyNumberFormat="1" applyBorder="1">
      <alignment vertical="center"/>
    </xf>
    <xf numFmtId="10" fontId="0" fillId="0" borderId="32" xfId="0" applyNumberFormat="1" applyBorder="1">
      <alignment vertical="center"/>
    </xf>
    <xf numFmtId="10" fontId="0" fillId="0" borderId="31" xfId="0" applyNumberFormat="1" applyBorder="1">
      <alignment vertical="center"/>
    </xf>
    <xf numFmtId="9" fontId="0" fillId="0" borderId="12" xfId="0" applyNumberFormat="1" applyBorder="1">
      <alignment vertical="center"/>
    </xf>
    <xf numFmtId="9" fontId="0" fillId="0" borderId="31" xfId="0" applyNumberFormat="1" applyBorder="1">
      <alignment vertical="center"/>
    </xf>
    <xf numFmtId="0" fontId="1" fillId="11" borderId="16" xfId="0" applyFont="1" applyFill="1" applyBorder="1" applyAlignment="1">
      <alignment horizontal="center" vertical="center"/>
    </xf>
    <xf numFmtId="10" fontId="1" fillId="0" borderId="32" xfId="0" applyNumberFormat="1" applyFont="1" applyBorder="1">
      <alignment vertical="center"/>
    </xf>
    <xf numFmtId="176" fontId="0" fillId="0" borderId="31" xfId="0" applyNumberFormat="1" applyBorder="1">
      <alignment vertical="center"/>
    </xf>
    <xf numFmtId="10" fontId="0" fillId="6" borderId="2" xfId="0" applyNumberFormat="1" applyFill="1" applyBorder="1">
      <alignment vertical="center"/>
    </xf>
    <xf numFmtId="0" fontId="1" fillId="8" borderId="16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10" fontId="0" fillId="0" borderId="19" xfId="0" applyNumberFormat="1" applyBorder="1">
      <alignment vertical="center"/>
    </xf>
    <xf numFmtId="10" fontId="0" fillId="0" borderId="33" xfId="0" applyNumberFormat="1" applyBorder="1">
      <alignment vertical="center"/>
    </xf>
    <xf numFmtId="10" fontId="0" fillId="0" borderId="34" xfId="0" applyNumberFormat="1" applyBorder="1">
      <alignment vertical="center"/>
    </xf>
    <xf numFmtId="10" fontId="0" fillId="0" borderId="18" xfId="0" applyNumberFormat="1" applyBorder="1">
      <alignment vertical="center"/>
    </xf>
    <xf numFmtId="10" fontId="0" fillId="0" borderId="35" xfId="0" applyNumberFormat="1" applyBorder="1">
      <alignment vertical="center"/>
    </xf>
    <xf numFmtId="9" fontId="1" fillId="0" borderId="2" xfId="0" applyNumberFormat="1" applyFont="1" applyBorder="1">
      <alignment vertical="center"/>
    </xf>
    <xf numFmtId="9" fontId="13" fillId="0" borderId="2" xfId="0" applyNumberFormat="1" applyFont="1" applyFill="1" applyBorder="1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 shrinkToFit="1"/>
    </xf>
    <xf numFmtId="0" fontId="0" fillId="13" borderId="36" xfId="0" applyFill="1" applyBorder="1">
      <alignment vertical="center"/>
    </xf>
    <xf numFmtId="0" fontId="12" fillId="9" borderId="37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14" fillId="9" borderId="15" xfId="0" applyFont="1" applyFill="1" applyBorder="1" applyAlignment="1">
      <alignment horizontal="center" vertical="center"/>
    </xf>
    <xf numFmtId="0" fontId="8" fillId="9" borderId="36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12" fillId="14" borderId="31" xfId="0" applyFont="1" applyFill="1" applyBorder="1" applyAlignment="1">
      <alignment horizontal="center" vertical="center"/>
    </xf>
    <xf numFmtId="0" fontId="8" fillId="15" borderId="38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8" fillId="15" borderId="17" xfId="0" applyFont="1" applyFill="1" applyBorder="1" applyAlignment="1">
      <alignment horizontal="center" vertical="center"/>
    </xf>
    <xf numFmtId="0" fontId="1" fillId="0" borderId="19" xfId="0" applyFont="1" applyBorder="1">
      <alignment vertical="center"/>
    </xf>
    <xf numFmtId="0" fontId="1" fillId="0" borderId="39" xfId="0" applyFont="1" applyBorder="1">
      <alignment vertical="center"/>
    </xf>
    <xf numFmtId="0" fontId="1" fillId="2" borderId="19" xfId="0" applyFont="1" applyFill="1" applyBorder="1">
      <alignment vertical="center"/>
    </xf>
    <xf numFmtId="0" fontId="15" fillId="0" borderId="20" xfId="0" applyFont="1" applyBorder="1">
      <alignment vertical="center"/>
    </xf>
    <xf numFmtId="0" fontId="1" fillId="8" borderId="12" xfId="0" applyFont="1" applyFill="1" applyBorder="1" applyAlignment="1">
      <alignment horizontal="center" vertical="center"/>
    </xf>
    <xf numFmtId="0" fontId="14" fillId="16" borderId="31" xfId="0" applyFont="1" applyFill="1" applyBorder="1" applyAlignment="1">
      <alignment horizontal="center" vertical="center"/>
    </xf>
    <xf numFmtId="0" fontId="1" fillId="11" borderId="38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1" fillId="17" borderId="12" xfId="0" applyFont="1" applyFill="1" applyBorder="1" applyAlignment="1">
      <alignment horizontal="center" vertical="center"/>
    </xf>
    <xf numFmtId="0" fontId="8" fillId="16" borderId="31" xfId="0" applyFont="1" applyFill="1" applyBorder="1" applyAlignment="1">
      <alignment horizontal="center" vertical="center"/>
    </xf>
    <xf numFmtId="0" fontId="16" fillId="0" borderId="2" xfId="0" applyFont="1" applyBorder="1">
      <alignment vertical="center"/>
    </xf>
    <xf numFmtId="0" fontId="1" fillId="5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8" borderId="38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7" fillId="15" borderId="38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7" fillId="15" borderId="17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0" fontId="1" fillId="17" borderId="17" xfId="0" applyFont="1" applyFill="1" applyBorder="1" applyAlignment="1">
      <alignment horizontal="center" vertical="center"/>
    </xf>
    <xf numFmtId="0" fontId="1" fillId="17" borderId="3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1" fillId="17" borderId="40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0" fillId="0" borderId="41" xfId="0" applyBorder="1">
      <alignment vertical="center"/>
    </xf>
    <xf numFmtId="10" fontId="8" fillId="5" borderId="42" xfId="0" applyNumberFormat="1" applyFont="1" applyFill="1" applyBorder="1" applyAlignment="1">
      <alignment horizontal="center" vertical="center"/>
    </xf>
    <xf numFmtId="10" fontId="8" fillId="5" borderId="43" xfId="0" applyNumberFormat="1" applyFont="1" applyFill="1" applyBorder="1" applyAlignment="1">
      <alignment horizontal="center" vertical="center"/>
    </xf>
    <xf numFmtId="10" fontId="8" fillId="16" borderId="25" xfId="0" applyNumberFormat="1" applyFont="1" applyFill="1" applyBorder="1" applyAlignment="1">
      <alignment horizontal="center" vertical="center"/>
    </xf>
    <xf numFmtId="0" fontId="8" fillId="16" borderId="22" xfId="0" applyFont="1" applyFill="1" applyBorder="1" applyAlignment="1">
      <alignment horizontal="center" vertical="center"/>
    </xf>
    <xf numFmtId="0" fontId="8" fillId="16" borderId="23" xfId="0" applyFont="1" applyFill="1" applyBorder="1" applyAlignment="1">
      <alignment horizontal="center" vertical="center"/>
    </xf>
    <xf numFmtId="0" fontId="8" fillId="12" borderId="44" xfId="0" applyFont="1" applyFill="1" applyBorder="1" applyAlignment="1">
      <alignment horizontal="center" vertical="center"/>
    </xf>
    <xf numFmtId="10" fontId="8" fillId="11" borderId="42" xfId="0" applyNumberFormat="1" applyFont="1" applyFill="1" applyBorder="1" applyAlignment="1">
      <alignment horizontal="center" vertical="center"/>
    </xf>
    <xf numFmtId="0" fontId="8" fillId="11" borderId="22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 vertical="center"/>
    </xf>
    <xf numFmtId="0" fontId="8" fillId="16" borderId="21" xfId="0" applyFont="1" applyFill="1" applyBorder="1" applyAlignment="1">
      <alignment horizontal="center" vertical="center"/>
    </xf>
    <xf numFmtId="0" fontId="8" fillId="16" borderId="43" xfId="0" applyFont="1" applyFill="1" applyBorder="1" applyAlignment="1">
      <alignment horizontal="center" vertical="center"/>
    </xf>
    <xf numFmtId="0" fontId="8" fillId="5" borderId="45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1" fillId="11" borderId="27" xfId="0" applyFont="1" applyFill="1" applyBorder="1" applyAlignment="1">
      <alignment horizontal="center" vertical="center"/>
    </xf>
    <xf numFmtId="178" fontId="10" fillId="8" borderId="2" xfId="0" applyNumberFormat="1" applyFont="1" applyFill="1" applyBorder="1" applyAlignment="1">
      <alignment horizontal="center" vertical="center"/>
    </xf>
    <xf numFmtId="178" fontId="10" fillId="8" borderId="27" xfId="0" applyNumberFormat="1" applyFont="1" applyFill="1" applyBorder="1" applyAlignment="1">
      <alignment horizontal="center" vertical="center"/>
    </xf>
    <xf numFmtId="176" fontId="10" fillId="8" borderId="28" xfId="0" applyNumberFormat="1" applyFont="1" applyFill="1" applyBorder="1" applyAlignment="1">
      <alignment horizontal="center" vertical="center"/>
    </xf>
    <xf numFmtId="0" fontId="1" fillId="12" borderId="46" xfId="0" applyFont="1" applyFill="1" applyBorder="1" applyAlignment="1">
      <alignment horizontal="center" vertical="center"/>
    </xf>
    <xf numFmtId="176" fontId="0" fillId="18" borderId="27" xfId="0" applyNumberFormat="1" applyFill="1" applyBorder="1" applyAlignment="1">
      <alignment horizontal="center" vertical="center"/>
    </xf>
    <xf numFmtId="176" fontId="10" fillId="18" borderId="27" xfId="0" applyNumberFormat="1" applyFont="1" applyFill="1" applyBorder="1" applyAlignment="1">
      <alignment horizontal="center" vertical="center"/>
    </xf>
    <xf numFmtId="176" fontId="10" fillId="8" borderId="27" xfId="0" applyNumberFormat="1" applyFont="1" applyFill="1" applyBorder="1" applyAlignment="1">
      <alignment horizontal="center" vertical="center"/>
    </xf>
    <xf numFmtId="176" fontId="0" fillId="18" borderId="2" xfId="0" applyNumberFormat="1" applyFill="1" applyBorder="1" applyAlignment="1">
      <alignment horizontal="center" vertical="center"/>
    </xf>
    <xf numFmtId="176" fontId="10" fillId="18" borderId="2" xfId="0" applyNumberFormat="1" applyFont="1" applyFill="1" applyBorder="1" applyAlignment="1">
      <alignment horizontal="center" vertical="center"/>
    </xf>
    <xf numFmtId="10" fontId="10" fillId="8" borderId="12" xfId="0" applyNumberFormat="1" applyFont="1" applyFill="1" applyBorder="1" applyAlignment="1">
      <alignment horizontal="center" vertical="center"/>
    </xf>
    <xf numFmtId="177" fontId="10" fillId="8" borderId="12" xfId="0" applyNumberFormat="1" applyFont="1" applyFill="1" applyBorder="1" applyAlignment="1">
      <alignment horizontal="center" vertical="center"/>
    </xf>
    <xf numFmtId="10" fontId="1" fillId="12" borderId="46" xfId="0" applyNumberFormat="1" applyFont="1" applyFill="1" applyBorder="1" applyAlignment="1">
      <alignment horizontal="center" vertical="center"/>
    </xf>
    <xf numFmtId="10" fontId="0" fillId="18" borderId="2" xfId="0" applyNumberFormat="1" applyFill="1" applyBorder="1" applyAlignment="1">
      <alignment horizontal="center" vertical="center"/>
    </xf>
    <xf numFmtId="178" fontId="0" fillId="18" borderId="2" xfId="0" applyNumberFormat="1" applyFill="1" applyBorder="1" applyAlignment="1">
      <alignment horizontal="center" vertical="center"/>
    </xf>
    <xf numFmtId="179" fontId="0" fillId="18" borderId="2" xfId="0" applyNumberFormat="1" applyFill="1" applyBorder="1" applyAlignment="1">
      <alignment horizontal="center" vertical="center"/>
    </xf>
    <xf numFmtId="0" fontId="1" fillId="8" borderId="39" xfId="0" applyFont="1" applyFill="1" applyBorder="1" applyAlignment="1">
      <alignment horizontal="center" vertical="center"/>
    </xf>
    <xf numFmtId="0" fontId="1" fillId="19" borderId="46" xfId="0" applyFont="1" applyFill="1" applyBorder="1" applyAlignment="1">
      <alignment horizontal="center" vertical="center"/>
    </xf>
    <xf numFmtId="176" fontId="10" fillId="18" borderId="39" xfId="0" applyNumberFormat="1" applyFont="1" applyFill="1" applyBorder="1" applyAlignment="1">
      <alignment horizontal="center" vertical="center"/>
    </xf>
    <xf numFmtId="177" fontId="10" fillId="8" borderId="39" xfId="0" applyNumberFormat="1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" fillId="13" borderId="4" xfId="0" applyFont="1" applyFill="1" applyBorder="1">
      <alignment vertical="center"/>
    </xf>
    <xf numFmtId="0" fontId="0" fillId="13" borderId="5" xfId="0" applyFill="1" applyBorder="1">
      <alignment vertical="center"/>
    </xf>
    <xf numFmtId="0" fontId="0" fillId="13" borderId="6" xfId="0" applyFill="1" applyBorder="1">
      <alignment vertical="center"/>
    </xf>
    <xf numFmtId="9" fontId="0" fillId="0" borderId="38" xfId="0" applyNumberFormat="1" applyBorder="1">
      <alignment vertical="center"/>
    </xf>
    <xf numFmtId="9" fontId="4" fillId="0" borderId="2" xfId="0" applyNumberFormat="1" applyFont="1" applyBorder="1" applyAlignment="1"/>
    <xf numFmtId="0" fontId="1" fillId="13" borderId="7" xfId="0" applyFont="1" applyFill="1" applyBorder="1">
      <alignment vertical="center"/>
    </xf>
    <xf numFmtId="0" fontId="0" fillId="13" borderId="0" xfId="0" applyFill="1" applyBorder="1">
      <alignment vertical="center"/>
    </xf>
    <xf numFmtId="0" fontId="0" fillId="13" borderId="8" xfId="0" applyFill="1" applyBorder="1">
      <alignment vertical="center"/>
    </xf>
    <xf numFmtId="0" fontId="1" fillId="13" borderId="9" xfId="0" applyFont="1" applyFill="1" applyBorder="1">
      <alignment vertical="center"/>
    </xf>
    <xf numFmtId="0" fontId="0" fillId="13" borderId="10" xfId="0" applyFill="1" applyBorder="1">
      <alignment vertical="center"/>
    </xf>
    <xf numFmtId="0" fontId="0" fillId="13" borderId="11" xfId="0" applyFill="1" applyBorder="1">
      <alignment vertical="center"/>
    </xf>
    <xf numFmtId="0" fontId="0" fillId="3" borderId="38" xfId="0" applyNumberFormat="1" applyFill="1" applyBorder="1">
      <alignment vertical="center"/>
    </xf>
    <xf numFmtId="0" fontId="1" fillId="13" borderId="0" xfId="0" applyFont="1" applyFill="1" applyBorder="1">
      <alignment vertical="center"/>
    </xf>
    <xf numFmtId="0" fontId="0" fillId="0" borderId="0" xfId="0" applyBorder="1">
      <alignment vertical="center"/>
    </xf>
    <xf numFmtId="0" fontId="0" fillId="13" borderId="13" xfId="0" applyFill="1" applyBorder="1">
      <alignment vertical="center"/>
    </xf>
    <xf numFmtId="10" fontId="14" fillId="9" borderId="14" xfId="0" applyNumberFormat="1" applyFont="1" applyFill="1" applyBorder="1" applyAlignment="1">
      <alignment horizontal="center" vertical="center"/>
    </xf>
    <xf numFmtId="0" fontId="19" fillId="7" borderId="4" xfId="0" applyFont="1" applyFill="1" applyBorder="1">
      <alignment vertical="center"/>
    </xf>
    <xf numFmtId="0" fontId="0" fillId="5" borderId="2" xfId="0" applyFill="1" applyBorder="1">
      <alignment vertical="center"/>
    </xf>
    <xf numFmtId="0" fontId="12" fillId="5" borderId="2" xfId="0" applyFont="1" applyFill="1" applyBorder="1">
      <alignment vertical="center"/>
    </xf>
    <xf numFmtId="176" fontId="0" fillId="5" borderId="2" xfId="0" applyNumberFormat="1" applyFill="1" applyBorder="1">
      <alignment vertical="center"/>
    </xf>
    <xf numFmtId="0" fontId="0" fillId="20" borderId="2" xfId="0" applyFill="1" applyBorder="1">
      <alignment vertical="center"/>
    </xf>
    <xf numFmtId="0" fontId="1" fillId="20" borderId="2" xfId="0" applyFont="1" applyFill="1" applyBorder="1">
      <alignment vertical="center"/>
    </xf>
    <xf numFmtId="0" fontId="15" fillId="16" borderId="2" xfId="0" applyFont="1" applyFill="1" applyBorder="1">
      <alignment vertical="center"/>
    </xf>
    <xf numFmtId="0" fontId="10" fillId="21" borderId="26" xfId="0" applyFont="1" applyFill="1" applyBorder="1" applyAlignment="1">
      <alignment horizontal="center" vertical="center"/>
    </xf>
    <xf numFmtId="0" fontId="10" fillId="21" borderId="16" xfId="0" applyFont="1" applyFill="1" applyBorder="1" applyAlignment="1">
      <alignment horizontal="center" vertical="center"/>
    </xf>
    <xf numFmtId="0" fontId="20" fillId="22" borderId="47" xfId="0" applyFont="1" applyFill="1" applyBorder="1">
      <alignment vertical="center"/>
    </xf>
    <xf numFmtId="176" fontId="1" fillId="5" borderId="2" xfId="0" applyNumberFormat="1" applyFont="1" applyFill="1" applyBorder="1">
      <alignment vertical="center"/>
    </xf>
    <xf numFmtId="0" fontId="0" fillId="23" borderId="48" xfId="0" applyFont="1" applyFill="1" applyBorder="1">
      <alignment vertical="center"/>
    </xf>
    <xf numFmtId="9" fontId="0" fillId="23" borderId="48" xfId="0" applyNumberFormat="1" applyFont="1" applyFill="1" applyBorder="1" applyAlignment="1"/>
    <xf numFmtId="0" fontId="0" fillId="0" borderId="0" xfId="0" applyFont="1" applyFill="1" applyBorder="1">
      <alignment vertical="center"/>
    </xf>
    <xf numFmtId="9" fontId="0" fillId="0" borderId="0" xfId="0" applyNumberFormat="1" applyFont="1" applyFill="1" applyBorder="1" applyAlignment="1"/>
    <xf numFmtId="0" fontId="0" fillId="23" borderId="0" xfId="0" applyFont="1" applyFill="1" applyBorder="1">
      <alignment vertical="center"/>
    </xf>
    <xf numFmtId="9" fontId="0" fillId="23" borderId="0" xfId="0" applyNumberFormat="1" applyFont="1" applyFill="1" applyBorder="1" applyAlignment="1"/>
    <xf numFmtId="10" fontId="0" fillId="5" borderId="2" xfId="0" applyNumberFormat="1" applyFill="1" applyBorder="1">
      <alignment vertical="center"/>
    </xf>
    <xf numFmtId="10" fontId="12" fillId="5" borderId="2" xfId="0" applyNumberFormat="1" applyFont="1" applyFill="1" applyBorder="1">
      <alignment vertical="center"/>
    </xf>
    <xf numFmtId="10" fontId="0" fillId="20" borderId="2" xfId="0" applyNumberFormat="1" applyFill="1" applyBorder="1">
      <alignment vertical="center"/>
    </xf>
    <xf numFmtId="0" fontId="0" fillId="18" borderId="2" xfId="0" applyFill="1" applyBorder="1">
      <alignment vertical="center"/>
    </xf>
    <xf numFmtId="0" fontId="12" fillId="18" borderId="2" xfId="0" applyFont="1" applyFill="1" applyBorder="1">
      <alignment vertical="center"/>
    </xf>
    <xf numFmtId="176" fontId="0" fillId="18" borderId="2" xfId="0" applyNumberFormat="1" applyFill="1" applyBorder="1">
      <alignment vertical="center"/>
    </xf>
    <xf numFmtId="0" fontId="1" fillId="18" borderId="2" xfId="0" applyFont="1" applyFill="1" applyBorder="1">
      <alignment vertical="center"/>
    </xf>
    <xf numFmtId="0" fontId="1" fillId="21" borderId="16" xfId="0" applyFont="1" applyFill="1" applyBorder="1" applyAlignment="1">
      <alignment horizontal="center" vertical="center"/>
    </xf>
    <xf numFmtId="0" fontId="0" fillId="13" borderId="2" xfId="0" applyFill="1" applyBorder="1">
      <alignment vertical="center"/>
    </xf>
    <xf numFmtId="10" fontId="0" fillId="18" borderId="2" xfId="0" applyNumberFormat="1" applyFill="1" applyBorder="1">
      <alignment vertical="center"/>
    </xf>
    <xf numFmtId="10" fontId="12" fillId="18" borderId="2" xfId="0" applyNumberFormat="1" applyFont="1" applyFill="1" applyBorder="1">
      <alignment vertical="center"/>
    </xf>
    <xf numFmtId="9" fontId="0" fillId="18" borderId="2" xfId="0" applyNumberFormat="1" applyFill="1" applyBorder="1">
      <alignment vertical="center"/>
    </xf>
    <xf numFmtId="178" fontId="0" fillId="18" borderId="2" xfId="0" applyNumberFormat="1" applyFill="1" applyBorder="1">
      <alignment vertical="center"/>
    </xf>
    <xf numFmtId="0" fontId="12" fillId="2" borderId="2" xfId="0" applyFont="1" applyFill="1" applyBorder="1">
      <alignment vertical="center"/>
    </xf>
    <xf numFmtId="176" fontId="0" fillId="2" borderId="2" xfId="0" applyNumberFormat="1" applyFill="1" applyBorder="1">
      <alignment vertical="center"/>
    </xf>
    <xf numFmtId="178" fontId="0" fillId="2" borderId="2" xfId="0" applyNumberFormat="1" applyFill="1" applyBorder="1">
      <alignment vertical="center"/>
    </xf>
    <xf numFmtId="0" fontId="1" fillId="21" borderId="17" xfId="0" applyFont="1" applyFill="1" applyBorder="1" applyAlignment="1">
      <alignment horizontal="center" vertical="center"/>
    </xf>
    <xf numFmtId="10" fontId="0" fillId="2" borderId="2" xfId="0" applyNumberFormat="1" applyFill="1" applyBorder="1">
      <alignment vertical="center"/>
    </xf>
    <xf numFmtId="10" fontId="12" fillId="2" borderId="2" xfId="0" applyNumberFormat="1" applyFont="1" applyFill="1" applyBorder="1">
      <alignment vertical="center"/>
    </xf>
    <xf numFmtId="0" fontId="0" fillId="0" borderId="49" xfId="0" applyFont="1" applyFill="1" applyBorder="1">
      <alignment vertical="center"/>
    </xf>
    <xf numFmtId="9" fontId="0" fillId="0" borderId="49" xfId="0" applyNumberFormat="1" applyFont="1" applyFill="1" applyBorder="1" applyAlignment="1"/>
    <xf numFmtId="0" fontId="1" fillId="12" borderId="18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10" fontId="0" fillId="6" borderId="19" xfId="0" applyNumberFormat="1" applyFill="1" applyBorder="1">
      <alignment vertical="center"/>
    </xf>
    <xf numFmtId="0" fontId="10" fillId="21" borderId="18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/>
    </xf>
    <xf numFmtId="0" fontId="21" fillId="0" borderId="16" xfId="0" applyFont="1" applyBorder="1">
      <alignment vertical="center"/>
    </xf>
    <xf numFmtId="0" fontId="21" fillId="0" borderId="2" xfId="0" applyFont="1" applyBorder="1">
      <alignment vertical="center"/>
    </xf>
    <xf numFmtId="9" fontId="22" fillId="0" borderId="2" xfId="0" applyNumberFormat="1" applyFont="1" applyBorder="1">
      <alignment vertical="center"/>
    </xf>
    <xf numFmtId="9" fontId="21" fillId="0" borderId="2" xfId="0" applyNumberFormat="1" applyFont="1" applyBorder="1">
      <alignment vertical="center"/>
    </xf>
    <xf numFmtId="10" fontId="22" fillId="0" borderId="2" xfId="0" applyNumberFormat="1" applyFont="1" applyBorder="1">
      <alignment vertical="center"/>
    </xf>
    <xf numFmtId="10" fontId="22" fillId="0" borderId="17" xfId="0" applyNumberFormat="1" applyFont="1" applyBorder="1">
      <alignment vertical="center"/>
    </xf>
    <xf numFmtId="10" fontId="22" fillId="0" borderId="36" xfId="0" applyNumberFormat="1" applyFont="1" applyBorder="1">
      <alignment vertical="center"/>
    </xf>
    <xf numFmtId="10" fontId="22" fillId="0" borderId="15" xfId="0" applyNumberFormat="1" applyFont="1" applyBorder="1">
      <alignment vertical="center"/>
    </xf>
    <xf numFmtId="0" fontId="21" fillId="24" borderId="16" xfId="0" applyFont="1" applyFill="1" applyBorder="1">
      <alignment vertical="center"/>
    </xf>
    <xf numFmtId="0" fontId="21" fillId="24" borderId="2" xfId="0" applyFont="1" applyFill="1" applyBorder="1">
      <alignment vertical="center"/>
    </xf>
    <xf numFmtId="9" fontId="22" fillId="24" borderId="2" xfId="0" applyNumberFormat="1" applyFont="1" applyFill="1" applyBorder="1">
      <alignment vertical="center"/>
    </xf>
    <xf numFmtId="9" fontId="21" fillId="24" borderId="2" xfId="0" applyNumberFormat="1" applyFont="1" applyFill="1" applyBorder="1">
      <alignment vertical="center"/>
    </xf>
    <xf numFmtId="10" fontId="22" fillId="24" borderId="2" xfId="0" applyNumberFormat="1" applyFont="1" applyFill="1" applyBorder="1">
      <alignment vertical="center"/>
    </xf>
    <xf numFmtId="10" fontId="22" fillId="24" borderId="17" xfId="0" applyNumberFormat="1" applyFont="1" applyFill="1" applyBorder="1">
      <alignment vertical="center"/>
    </xf>
    <xf numFmtId="10" fontId="22" fillId="0" borderId="31" xfId="0" applyNumberFormat="1" applyFont="1" applyBorder="1">
      <alignment vertical="center"/>
    </xf>
    <xf numFmtId="10" fontId="22" fillId="8" borderId="17" xfId="0" applyNumberFormat="1" applyFont="1" applyFill="1" applyBorder="1">
      <alignment vertical="center"/>
    </xf>
    <xf numFmtId="10" fontId="22" fillId="8" borderId="31" xfId="0" applyNumberFormat="1" applyFont="1" applyFill="1" applyBorder="1">
      <alignment vertical="center"/>
    </xf>
    <xf numFmtId="0" fontId="21" fillId="25" borderId="16" xfId="0" applyFont="1" applyFill="1" applyBorder="1">
      <alignment vertical="center"/>
    </xf>
    <xf numFmtId="0" fontId="21" fillId="25" borderId="2" xfId="0" applyFont="1" applyFill="1" applyBorder="1">
      <alignment vertical="center"/>
    </xf>
    <xf numFmtId="9" fontId="22" fillId="25" borderId="2" xfId="0" applyNumberFormat="1" applyFont="1" applyFill="1" applyBorder="1">
      <alignment vertical="center"/>
    </xf>
    <xf numFmtId="9" fontId="21" fillId="25" borderId="2" xfId="0" applyNumberFormat="1" applyFont="1" applyFill="1" applyBorder="1">
      <alignment vertical="center"/>
    </xf>
    <xf numFmtId="10" fontId="22" fillId="25" borderId="2" xfId="0" applyNumberFormat="1" applyFont="1" applyFill="1" applyBorder="1">
      <alignment vertical="center"/>
    </xf>
    <xf numFmtId="10" fontId="22" fillId="25" borderId="17" xfId="0" applyNumberFormat="1" applyFont="1" applyFill="1" applyBorder="1">
      <alignment vertical="center"/>
    </xf>
    <xf numFmtId="0" fontId="1" fillId="25" borderId="16" xfId="0" applyFont="1" applyFill="1" applyBorder="1">
      <alignment vertical="center"/>
    </xf>
    <xf numFmtId="0" fontId="1" fillId="25" borderId="2" xfId="0" applyFont="1" applyFill="1" applyBorder="1">
      <alignment vertical="center"/>
    </xf>
    <xf numFmtId="9" fontId="23" fillId="25" borderId="2" xfId="0" applyNumberFormat="1" applyFont="1" applyFill="1" applyBorder="1">
      <alignment vertical="center"/>
    </xf>
    <xf numFmtId="9" fontId="8" fillId="25" borderId="2" xfId="0" applyNumberFormat="1" applyFont="1" applyFill="1" applyBorder="1">
      <alignment vertical="center"/>
    </xf>
    <xf numFmtId="10" fontId="23" fillId="25" borderId="2" xfId="0" applyNumberFormat="1" applyFont="1" applyFill="1" applyBorder="1">
      <alignment vertical="center"/>
    </xf>
    <xf numFmtId="10" fontId="23" fillId="25" borderId="17" xfId="0" applyNumberFormat="1" applyFont="1" applyFill="1" applyBorder="1">
      <alignment vertical="center"/>
    </xf>
    <xf numFmtId="0" fontId="1" fillId="26" borderId="16" xfId="0" applyFont="1" applyFill="1" applyBorder="1">
      <alignment vertical="center"/>
    </xf>
    <xf numFmtId="0" fontId="1" fillId="26" borderId="2" xfId="0" applyFont="1" applyFill="1" applyBorder="1">
      <alignment vertical="center"/>
    </xf>
    <xf numFmtId="9" fontId="23" fillId="26" borderId="2" xfId="0" applyNumberFormat="1" applyFont="1" applyFill="1" applyBorder="1">
      <alignment vertical="center"/>
    </xf>
    <xf numFmtId="9" fontId="8" fillId="26" borderId="2" xfId="0" applyNumberFormat="1" applyFont="1" applyFill="1" applyBorder="1">
      <alignment vertical="center"/>
    </xf>
    <xf numFmtId="10" fontId="23" fillId="26" borderId="2" xfId="0" applyNumberFormat="1" applyFont="1" applyFill="1" applyBorder="1">
      <alignment vertical="center"/>
    </xf>
    <xf numFmtId="10" fontId="23" fillId="26" borderId="17" xfId="0" applyNumberFormat="1" applyFont="1" applyFill="1" applyBorder="1">
      <alignment vertical="center"/>
    </xf>
    <xf numFmtId="0" fontId="1" fillId="27" borderId="18" xfId="0" applyFont="1" applyFill="1" applyBorder="1">
      <alignment vertical="center"/>
    </xf>
    <xf numFmtId="0" fontId="1" fillId="27" borderId="19" xfId="0" applyFont="1" applyFill="1" applyBorder="1">
      <alignment vertical="center"/>
    </xf>
    <xf numFmtId="9" fontId="23" fillId="27" borderId="19" xfId="0" applyNumberFormat="1" applyFont="1" applyFill="1" applyBorder="1">
      <alignment vertical="center"/>
    </xf>
    <xf numFmtId="9" fontId="8" fillId="27" borderId="19" xfId="0" applyNumberFormat="1" applyFont="1" applyFill="1" applyBorder="1">
      <alignment vertical="center"/>
    </xf>
    <xf numFmtId="10" fontId="23" fillId="27" borderId="19" xfId="0" applyNumberFormat="1" applyFont="1" applyFill="1" applyBorder="1">
      <alignment vertical="center"/>
    </xf>
    <xf numFmtId="10" fontId="23" fillId="27" borderId="20" xfId="0" applyNumberFormat="1" applyFont="1" applyFill="1" applyBorder="1">
      <alignment vertical="center"/>
    </xf>
    <xf numFmtId="10" fontId="22" fillId="0" borderId="34" xfId="0" applyNumberFormat="1" applyFont="1" applyBorder="1">
      <alignment vertical="center"/>
    </xf>
    <xf numFmtId="10" fontId="22" fillId="0" borderId="20" xfId="0" applyNumberFormat="1" applyFont="1" applyBorder="1">
      <alignment vertical="center"/>
    </xf>
    <xf numFmtId="0" fontId="1" fillId="27" borderId="2" xfId="0" applyFont="1" applyFill="1" applyBorder="1" applyAlignment="1">
      <alignment horizontal="center" vertical="center"/>
    </xf>
    <xf numFmtId="0" fontId="0" fillId="27" borderId="2" xfId="0" applyFill="1" applyBorder="1" applyAlignment="1">
      <alignment horizontal="center" vertical="center"/>
    </xf>
    <xf numFmtId="0" fontId="1" fillId="26" borderId="2" xfId="0" applyFont="1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0" fontId="1" fillId="25" borderId="2" xfId="0" applyFont="1" applyFill="1" applyBorder="1" applyAlignment="1">
      <alignment horizontal="center" vertical="center"/>
    </xf>
    <xf numFmtId="0" fontId="0" fillId="25" borderId="2" xfId="0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0" fontId="1" fillId="28" borderId="2" xfId="0" applyFont="1" applyFill="1" applyBorder="1" applyAlignment="1">
      <alignment horizontal="center" vertical="center"/>
    </xf>
    <xf numFmtId="0" fontId="0" fillId="28" borderId="2" xfId="0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8" fillId="0" borderId="4" xfId="0" applyFont="1" applyBorder="1">
      <alignment vertical="center"/>
    </xf>
    <xf numFmtId="0" fontId="23" fillId="0" borderId="42" xfId="0" applyFont="1" applyBorder="1">
      <alignment vertical="center"/>
    </xf>
    <xf numFmtId="0" fontId="0" fillId="0" borderId="25" xfId="0" applyBorder="1">
      <alignment vertical="center"/>
    </xf>
    <xf numFmtId="0" fontId="0" fillId="0" borderId="50" xfId="0" applyBorder="1">
      <alignment vertical="center"/>
    </xf>
    <xf numFmtId="0" fontId="23" fillId="29" borderId="51" xfId="0" applyFont="1" applyFill="1" applyBorder="1" applyAlignment="1">
      <alignment horizontal="center" vertical="center"/>
    </xf>
    <xf numFmtId="0" fontId="23" fillId="29" borderId="51" xfId="0" applyFont="1" applyFill="1" applyBorder="1">
      <alignment vertical="center"/>
    </xf>
    <xf numFmtId="0" fontId="8" fillId="0" borderId="2" xfId="0" applyFont="1" applyBorder="1">
      <alignment vertical="center"/>
    </xf>
    <xf numFmtId="0" fontId="0" fillId="20" borderId="4" xfId="0" applyFill="1" applyBorder="1">
      <alignment vertical="center"/>
    </xf>
    <xf numFmtId="0" fontId="0" fillId="20" borderId="5" xfId="0" applyFill="1" applyBorder="1">
      <alignment vertical="center"/>
    </xf>
    <xf numFmtId="0" fontId="0" fillId="20" borderId="6" xfId="0" applyFill="1" applyBorder="1">
      <alignment vertical="center"/>
    </xf>
    <xf numFmtId="0" fontId="0" fillId="30" borderId="51" xfId="0" applyFont="1" applyFill="1" applyBorder="1" applyAlignment="1">
      <alignment horizontal="center" vertical="center"/>
    </xf>
    <xf numFmtId="0" fontId="0" fillId="30" borderId="51" xfId="0" applyFont="1" applyFill="1" applyBorder="1" applyAlignment="1">
      <alignment horizontal="center" vertical="center" wrapText="1"/>
    </xf>
    <xf numFmtId="0" fontId="0" fillId="30" borderId="5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20" borderId="7" xfId="0" applyFill="1" applyBorder="1">
      <alignment vertical="center"/>
    </xf>
    <xf numFmtId="0" fontId="0" fillId="20" borderId="0" xfId="0" applyFill="1" applyBorder="1">
      <alignment vertical="center"/>
    </xf>
    <xf numFmtId="0" fontId="0" fillId="20" borderId="8" xfId="0" applyFill="1" applyBorder="1">
      <alignment vertical="center"/>
    </xf>
    <xf numFmtId="0" fontId="0" fillId="29" borderId="51" xfId="0" applyFont="1" applyFill="1" applyBorder="1" applyAlignment="1">
      <alignment horizontal="center" vertical="center"/>
    </xf>
    <xf numFmtId="0" fontId="0" fillId="29" borderId="51" xfId="0" applyFont="1" applyFill="1" applyBorder="1" applyAlignment="1">
      <alignment horizontal="left" vertical="center"/>
    </xf>
    <xf numFmtId="0" fontId="0" fillId="29" borderId="51" xfId="0" applyFont="1" applyFill="1" applyBorder="1" applyAlignment="1">
      <alignment horizontal="center" vertical="center" wrapText="1"/>
    </xf>
    <xf numFmtId="0" fontId="1" fillId="0" borderId="38" xfId="0" applyFont="1" applyBorder="1">
      <alignment vertical="center"/>
    </xf>
    <xf numFmtId="0" fontId="1" fillId="20" borderId="7" xfId="0" applyFont="1" applyFill="1" applyBorder="1">
      <alignment vertical="center"/>
    </xf>
    <xf numFmtId="0" fontId="1" fillId="0" borderId="2" xfId="0" applyFont="1" applyBorder="1" applyAlignment="1">
      <alignment vertical="center"/>
    </xf>
    <xf numFmtId="180" fontId="0" fillId="6" borderId="0" xfId="0" applyNumberFormat="1" applyFill="1">
      <alignment vertical="center"/>
    </xf>
    <xf numFmtId="0" fontId="0" fillId="0" borderId="38" xfId="0" applyBorder="1">
      <alignment vertical="center"/>
    </xf>
    <xf numFmtId="176" fontId="0" fillId="0" borderId="2" xfId="0" applyNumberFormat="1" applyBorder="1">
      <alignment vertical="center"/>
    </xf>
    <xf numFmtId="180" fontId="0" fillId="0" borderId="2" xfId="0" applyNumberFormat="1" applyBorder="1">
      <alignment vertical="center"/>
    </xf>
    <xf numFmtId="0" fontId="25" fillId="20" borderId="7" xfId="0" applyFont="1" applyFill="1" applyBorder="1">
      <alignment vertical="center"/>
    </xf>
    <xf numFmtId="0" fontId="1" fillId="20" borderId="0" xfId="0" applyFont="1" applyFill="1" applyBorder="1">
      <alignment vertical="center"/>
    </xf>
    <xf numFmtId="0" fontId="0" fillId="20" borderId="9" xfId="0" applyFill="1" applyBorder="1">
      <alignment vertical="center"/>
    </xf>
    <xf numFmtId="0" fontId="0" fillId="20" borderId="10" xfId="0" applyFill="1" applyBorder="1">
      <alignment vertical="center"/>
    </xf>
    <xf numFmtId="0" fontId="0" fillId="20" borderId="11" xfId="0" applyFill="1" applyBorder="1">
      <alignment vertical="center"/>
    </xf>
    <xf numFmtId="0" fontId="1" fillId="0" borderId="0" xfId="0" applyFont="1" applyBorder="1">
      <alignment vertical="center"/>
    </xf>
    <xf numFmtId="0" fontId="16" fillId="5" borderId="7" xfId="0" applyFont="1" applyFill="1" applyBorder="1">
      <alignment vertical="center"/>
    </xf>
    <xf numFmtId="0" fontId="16" fillId="5" borderId="0" xfId="0" applyFont="1" applyFill="1" applyBorder="1">
      <alignment vertical="center"/>
    </xf>
    <xf numFmtId="0" fontId="16" fillId="5" borderId="8" xfId="0" applyFont="1" applyFill="1" applyBorder="1">
      <alignment vertical="center"/>
    </xf>
    <xf numFmtId="0" fontId="16" fillId="6" borderId="7" xfId="0" applyFont="1" applyFill="1" applyBorder="1">
      <alignment vertical="center"/>
    </xf>
    <xf numFmtId="0" fontId="16" fillId="6" borderId="0" xfId="0" applyFont="1" applyFill="1" applyBorder="1">
      <alignment vertical="center"/>
    </xf>
    <xf numFmtId="0" fontId="0" fillId="6" borderId="0" xfId="0" applyFill="1" applyBorder="1">
      <alignment vertical="center"/>
    </xf>
    <xf numFmtId="0" fontId="0" fillId="6" borderId="8" xfId="0" applyFill="1" applyBorder="1">
      <alignment vertical="center"/>
    </xf>
    <xf numFmtId="0" fontId="1" fillId="6" borderId="7" xfId="0" applyFont="1" applyFill="1" applyBorder="1">
      <alignment vertical="center"/>
    </xf>
    <xf numFmtId="0" fontId="1" fillId="6" borderId="9" xfId="0" applyFont="1" applyFill="1" applyBorder="1">
      <alignment vertical="center"/>
    </xf>
    <xf numFmtId="0" fontId="0" fillId="6" borderId="10" xfId="0" applyFill="1" applyBorder="1">
      <alignment vertical="center"/>
    </xf>
    <xf numFmtId="0" fontId="0" fillId="6" borderId="11" xfId="0" applyFill="1" applyBorder="1">
      <alignment vertical="center"/>
    </xf>
    <xf numFmtId="0" fontId="8" fillId="0" borderId="7" xfId="0" applyFont="1" applyBorder="1">
      <alignment vertical="center"/>
    </xf>
    <xf numFmtId="0" fontId="8" fillId="8" borderId="7" xfId="0" applyFont="1" applyFill="1" applyBorder="1">
      <alignment vertical="center"/>
    </xf>
    <xf numFmtId="0" fontId="0" fillId="8" borderId="0" xfId="0" applyFill="1" applyBorder="1">
      <alignment vertical="center"/>
    </xf>
    <xf numFmtId="0" fontId="0" fillId="8" borderId="0" xfId="0" applyFill="1">
      <alignment vertical="center"/>
    </xf>
    <xf numFmtId="0" fontId="0" fillId="8" borderId="8" xfId="0" applyFill="1" applyBorder="1">
      <alignment vertical="center"/>
    </xf>
    <xf numFmtId="0" fontId="26" fillId="13" borderId="7" xfId="0" applyFont="1" applyFill="1" applyBorder="1">
      <alignment vertical="center"/>
    </xf>
    <xf numFmtId="0" fontId="0" fillId="13" borderId="0" xfId="0" applyFill="1">
      <alignment vertical="center"/>
    </xf>
    <xf numFmtId="0" fontId="8" fillId="31" borderId="7" xfId="0" applyFont="1" applyFill="1" applyBorder="1">
      <alignment vertical="center"/>
    </xf>
    <xf numFmtId="0" fontId="23" fillId="31" borderId="0" xfId="0" applyFont="1" applyFill="1" applyBorder="1">
      <alignment vertical="center"/>
    </xf>
    <xf numFmtId="0" fontId="23" fillId="31" borderId="0" xfId="0" applyFont="1" applyFill="1">
      <alignment vertical="center"/>
    </xf>
    <xf numFmtId="0" fontId="27" fillId="31" borderId="8" xfId="0" applyFont="1" applyFill="1" applyBorder="1">
      <alignment vertical="center"/>
    </xf>
    <xf numFmtId="0" fontId="26" fillId="13" borderId="9" xfId="0" applyFont="1" applyFill="1" applyBorder="1">
      <alignment vertical="center"/>
    </xf>
    <xf numFmtId="0" fontId="28" fillId="13" borderId="10" xfId="0" applyFont="1" applyFill="1" applyBorder="1">
      <alignment vertical="center"/>
    </xf>
    <xf numFmtId="0" fontId="28" fillId="13" borderId="11" xfId="0" applyFont="1" applyFill="1" applyBorder="1">
      <alignment vertical="center"/>
    </xf>
    <xf numFmtId="0" fontId="8" fillId="0" borderId="0" xfId="0" applyFont="1">
      <alignment vertical="center"/>
    </xf>
    <xf numFmtId="0" fontId="8" fillId="9" borderId="43" xfId="0" applyFont="1" applyFill="1" applyBorder="1" applyAlignment="1">
      <alignment horizontal="center" vertical="center"/>
    </xf>
    <xf numFmtId="0" fontId="8" fillId="9" borderId="43" xfId="0" applyFont="1" applyFill="1" applyBorder="1" applyAlignment="1">
      <alignment horizontal="center" vertical="center" wrapText="1"/>
    </xf>
    <xf numFmtId="0" fontId="8" fillId="0" borderId="42" xfId="0" applyFont="1" applyBorder="1" applyAlignment="1">
      <alignment horizontal="left" vertical="center"/>
    </xf>
    <xf numFmtId="0" fontId="8" fillId="0" borderId="50" xfId="0" applyFont="1" applyBorder="1" applyAlignment="1">
      <alignment horizontal="left" vertical="center"/>
    </xf>
    <xf numFmtId="9" fontId="22" fillId="0" borderId="13" xfId="0" applyNumberFormat="1" applyFont="1" applyBorder="1" applyAlignment="1">
      <alignment horizontal="center" vertical="center"/>
    </xf>
    <xf numFmtId="9" fontId="22" fillId="0" borderId="15" xfId="0" applyNumberFormat="1" applyFont="1" applyBorder="1" applyAlignment="1">
      <alignment horizontal="center" vertical="center"/>
    </xf>
    <xf numFmtId="0" fontId="21" fillId="0" borderId="52" xfId="0" applyFont="1" applyBorder="1">
      <alignment vertical="center"/>
    </xf>
    <xf numFmtId="9" fontId="21" fillId="0" borderId="53" xfId="0" applyNumberFormat="1" applyFont="1" applyBorder="1" applyAlignment="1">
      <alignment horizontal="center" vertical="center"/>
    </xf>
    <xf numFmtId="0" fontId="29" fillId="32" borderId="4" xfId="0" applyFont="1" applyFill="1" applyBorder="1">
      <alignment vertical="center"/>
    </xf>
    <xf numFmtId="0" fontId="0" fillId="32" borderId="6" xfId="0" applyFill="1" applyBorder="1">
      <alignment vertical="center"/>
    </xf>
    <xf numFmtId="9" fontId="22" fillId="0" borderId="16" xfId="0" applyNumberFormat="1" applyFont="1" applyBorder="1" applyAlignment="1">
      <alignment horizontal="center" vertical="center"/>
    </xf>
    <xf numFmtId="9" fontId="22" fillId="0" borderId="17" xfId="0" applyNumberFormat="1" applyFont="1" applyBorder="1" applyAlignment="1">
      <alignment horizontal="center" vertical="center"/>
    </xf>
    <xf numFmtId="0" fontId="21" fillId="24" borderId="38" xfId="0" applyFont="1" applyFill="1" applyBorder="1">
      <alignment vertical="center"/>
    </xf>
    <xf numFmtId="9" fontId="21" fillId="24" borderId="17" xfId="0" applyNumberFormat="1" applyFont="1" applyFill="1" applyBorder="1" applyAlignment="1">
      <alignment horizontal="center" vertical="center"/>
    </xf>
    <xf numFmtId="0" fontId="30" fillId="32" borderId="7" xfId="0" applyFont="1" applyFill="1" applyBorder="1">
      <alignment vertical="center"/>
    </xf>
    <xf numFmtId="0" fontId="31" fillId="32" borderId="8" xfId="0" applyFont="1" applyFill="1" applyBorder="1" applyAlignment="1">
      <alignment horizontal="right" vertical="center"/>
    </xf>
    <xf numFmtId="9" fontId="22" fillId="0" borderId="54" xfId="0" applyNumberFormat="1" applyFont="1" applyBorder="1" applyAlignment="1">
      <alignment horizontal="center" vertical="center"/>
    </xf>
    <xf numFmtId="9" fontId="22" fillId="0" borderId="55" xfId="0" applyNumberFormat="1" applyFont="1" applyBorder="1" applyAlignment="1">
      <alignment horizontal="center" vertical="center"/>
    </xf>
    <xf numFmtId="0" fontId="8" fillId="25" borderId="38" xfId="0" applyFont="1" applyFill="1" applyBorder="1">
      <alignment vertical="center"/>
    </xf>
    <xf numFmtId="9" fontId="8" fillId="25" borderId="17" xfId="0" applyNumberFormat="1" applyFont="1" applyFill="1" applyBorder="1" applyAlignment="1">
      <alignment horizontal="center" vertical="center"/>
    </xf>
    <xf numFmtId="0" fontId="16" fillId="32" borderId="7" xfId="0" applyFont="1" applyFill="1" applyBorder="1">
      <alignment vertical="center"/>
    </xf>
    <xf numFmtId="0" fontId="30" fillId="32" borderId="8" xfId="0" applyFont="1" applyFill="1" applyBorder="1" applyAlignment="1">
      <alignment horizontal="right" vertical="center"/>
    </xf>
    <xf numFmtId="9" fontId="22" fillId="0" borderId="4" xfId="0" applyNumberFormat="1" applyFont="1" applyBorder="1" applyAlignment="1">
      <alignment horizontal="center" vertical="center"/>
    </xf>
    <xf numFmtId="9" fontId="22" fillId="0" borderId="6" xfId="0" applyNumberFormat="1" applyFont="1" applyBorder="1" applyAlignment="1">
      <alignment horizontal="center" vertical="center"/>
    </xf>
    <xf numFmtId="0" fontId="8" fillId="26" borderId="38" xfId="0" applyFont="1" applyFill="1" applyBorder="1">
      <alignment vertical="center"/>
    </xf>
    <xf numFmtId="9" fontId="8" fillId="26" borderId="17" xfId="0" applyNumberFormat="1" applyFont="1" applyFill="1" applyBorder="1" applyAlignment="1">
      <alignment horizontal="center" vertical="center"/>
    </xf>
    <xf numFmtId="0" fontId="31" fillId="32" borderId="7" xfId="0" applyFont="1" applyFill="1" applyBorder="1">
      <alignment vertical="center"/>
    </xf>
    <xf numFmtId="0" fontId="32" fillId="32" borderId="8" xfId="0" applyFont="1" applyFill="1" applyBorder="1" applyAlignment="1">
      <alignment horizontal="right" vertical="center"/>
    </xf>
    <xf numFmtId="9" fontId="22" fillId="0" borderId="9" xfId="0" applyNumberFormat="1" applyFont="1" applyBorder="1" applyAlignment="1">
      <alignment horizontal="center" vertical="center"/>
    </xf>
    <xf numFmtId="9" fontId="22" fillId="0" borderId="11" xfId="0" applyNumberFormat="1" applyFont="1" applyBorder="1" applyAlignment="1">
      <alignment horizontal="center" vertical="center"/>
    </xf>
    <xf numFmtId="0" fontId="8" fillId="27" borderId="40" xfId="0" applyFont="1" applyFill="1" applyBorder="1">
      <alignment vertical="center"/>
    </xf>
    <xf numFmtId="9" fontId="23" fillId="27" borderId="20" xfId="0" applyNumberFormat="1" applyFont="1" applyFill="1" applyBorder="1" applyAlignment="1">
      <alignment horizontal="center" vertical="center"/>
    </xf>
    <xf numFmtId="0" fontId="0" fillId="32" borderId="8" xfId="0" applyFill="1" applyBorder="1" applyAlignment="1">
      <alignment horizontal="right" vertical="center"/>
    </xf>
    <xf numFmtId="0" fontId="33" fillId="32" borderId="7" xfId="0" applyFont="1" applyFill="1" applyBorder="1">
      <alignment vertical="center"/>
    </xf>
    <xf numFmtId="0" fontId="34" fillId="32" borderId="7" xfId="0" applyFont="1" applyFill="1" applyBorder="1">
      <alignment vertical="center"/>
    </xf>
    <xf numFmtId="0" fontId="35" fillId="32" borderId="7" xfId="0" applyFont="1" applyFill="1" applyBorder="1">
      <alignment vertical="center"/>
    </xf>
    <xf numFmtId="0" fontId="36" fillId="32" borderId="7" xfId="0" applyFont="1" applyFill="1" applyBorder="1">
      <alignment vertical="center"/>
    </xf>
    <xf numFmtId="0" fontId="30" fillId="32" borderId="8" xfId="0" applyFont="1" applyFill="1" applyBorder="1">
      <alignment vertical="center"/>
    </xf>
    <xf numFmtId="0" fontId="8" fillId="0" borderId="9" xfId="0" applyFont="1" applyBorder="1">
      <alignment vertical="center"/>
    </xf>
    <xf numFmtId="0" fontId="32" fillId="32" borderId="7" xfId="0" applyFont="1" applyFill="1" applyBorder="1">
      <alignment vertical="center"/>
    </xf>
    <xf numFmtId="0" fontId="30" fillId="32" borderId="9" xfId="0" applyFont="1" applyFill="1" applyBorder="1">
      <alignment vertical="center"/>
    </xf>
    <xf numFmtId="0" fontId="30" fillId="32" borderId="11" xfId="0" applyFont="1" applyFill="1" applyBorder="1">
      <alignment vertical="center"/>
    </xf>
    <xf numFmtId="0" fontId="8" fillId="16" borderId="4" xfId="0" applyFont="1" applyFill="1" applyBorder="1">
      <alignment vertical="center"/>
    </xf>
    <xf numFmtId="0" fontId="8" fillId="16" borderId="5" xfId="0" applyFont="1" applyFill="1" applyBorder="1">
      <alignment vertical="center"/>
    </xf>
    <xf numFmtId="0" fontId="1" fillId="16" borderId="5" xfId="0" applyFont="1" applyFill="1" applyBorder="1">
      <alignment vertical="center"/>
    </xf>
    <xf numFmtId="0" fontId="0" fillId="16" borderId="6" xfId="0" applyFill="1" applyBorder="1">
      <alignment vertical="center"/>
    </xf>
    <xf numFmtId="0" fontId="1" fillId="33" borderId="13" xfId="0" applyFont="1" applyFill="1" applyBorder="1">
      <alignment vertical="center"/>
    </xf>
    <xf numFmtId="0" fontId="1" fillId="33" borderId="14" xfId="0" applyFont="1" applyFill="1" applyBorder="1">
      <alignment vertical="center"/>
    </xf>
    <xf numFmtId="0" fontId="0" fillId="33" borderId="15" xfId="0" applyFill="1" applyBorder="1">
      <alignment vertical="center"/>
    </xf>
    <xf numFmtId="0" fontId="1" fillId="20" borderId="16" xfId="0" applyFont="1" applyFill="1" applyBorder="1">
      <alignment vertical="center"/>
    </xf>
    <xf numFmtId="0" fontId="1" fillId="20" borderId="17" xfId="0" applyFont="1" applyFill="1" applyBorder="1">
      <alignment vertical="center"/>
    </xf>
    <xf numFmtId="0" fontId="1" fillId="0" borderId="16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17" xfId="0" applyFont="1" applyFill="1" applyBorder="1">
      <alignment vertical="center"/>
    </xf>
    <xf numFmtId="0" fontId="1" fillId="0" borderId="54" xfId="0" applyFont="1" applyBorder="1">
      <alignment vertical="center"/>
    </xf>
    <xf numFmtId="0" fontId="0" fillId="0" borderId="55" xfId="0" applyBorder="1">
      <alignment vertical="center"/>
    </xf>
    <xf numFmtId="0" fontId="0" fillId="0" borderId="20" xfId="0" applyBorder="1">
      <alignment vertical="center"/>
    </xf>
    <xf numFmtId="0" fontId="8" fillId="16" borderId="42" xfId="0" applyFont="1" applyFill="1" applyBorder="1">
      <alignment vertical="center"/>
    </xf>
    <xf numFmtId="0" fontId="0" fillId="16" borderId="25" xfId="0" applyFill="1" applyBorder="1">
      <alignment vertical="center"/>
    </xf>
    <xf numFmtId="0" fontId="0" fillId="16" borderId="50" xfId="0" applyFill="1" applyBorder="1">
      <alignment vertical="center"/>
    </xf>
    <xf numFmtId="0" fontId="1" fillId="0" borderId="9" xfId="0" applyFont="1" applyBorder="1">
      <alignment vertical="center"/>
    </xf>
    <xf numFmtId="0" fontId="15" fillId="0" borderId="9" xfId="0" applyFont="1" applyBorder="1">
      <alignment vertical="center"/>
    </xf>
    <xf numFmtId="0" fontId="16" fillId="16" borderId="25" xfId="0" applyFont="1" applyFill="1" applyBorder="1">
      <alignment vertical="center"/>
    </xf>
    <xf numFmtId="0" fontId="0" fillId="16" borderId="5" xfId="0" applyFill="1" applyBorder="1">
      <alignment vertical="center"/>
    </xf>
    <xf numFmtId="0" fontId="8" fillId="34" borderId="42" xfId="0" applyFont="1" applyFill="1" applyBorder="1">
      <alignment vertical="center"/>
    </xf>
    <xf numFmtId="0" fontId="23" fillId="34" borderId="25" xfId="0" applyFont="1" applyFill="1" applyBorder="1">
      <alignment vertical="center"/>
    </xf>
    <xf numFmtId="0" fontId="23" fillId="34" borderId="50" xfId="0" applyFont="1" applyFill="1" applyBorder="1">
      <alignment vertical="center"/>
    </xf>
    <xf numFmtId="0" fontId="1" fillId="0" borderId="7" xfId="0" applyFont="1" applyFill="1" applyBorder="1">
      <alignment vertical="center"/>
    </xf>
    <xf numFmtId="0" fontId="0" fillId="0" borderId="0" xfId="0" applyFill="1" applyBorder="1">
      <alignment vertical="center"/>
    </xf>
    <xf numFmtId="0" fontId="0" fillId="0" borderId="8" xfId="0" applyFill="1" applyBorder="1">
      <alignment vertical="center"/>
    </xf>
    <xf numFmtId="0" fontId="37" fillId="0" borderId="0" xfId="0" applyFont="1" applyFill="1" applyBorder="1">
      <alignment vertical="center"/>
    </xf>
    <xf numFmtId="0" fontId="1" fillId="0" borderId="8" xfId="0" applyFont="1" applyFill="1" applyBorder="1">
      <alignment vertical="center"/>
    </xf>
    <xf numFmtId="0" fontId="38" fillId="0" borderId="7" xfId="0" applyFont="1" applyFill="1" applyBorder="1">
      <alignment vertical="center"/>
    </xf>
    <xf numFmtId="0" fontId="39" fillId="0" borderId="9" xfId="0" applyFont="1" applyBorder="1">
      <alignment vertical="center"/>
    </xf>
    <xf numFmtId="0" fontId="37" fillId="0" borderId="10" xfId="0" applyFont="1" applyBorder="1">
      <alignment vertical="center"/>
    </xf>
    <xf numFmtId="0" fontId="1" fillId="34" borderId="42" xfId="0" applyFont="1" applyFill="1" applyBorder="1">
      <alignment vertical="center"/>
    </xf>
    <xf numFmtId="0" fontId="0" fillId="34" borderId="50" xfId="0" applyFill="1" applyBorder="1">
      <alignment vertical="center"/>
    </xf>
    <xf numFmtId="0" fontId="8" fillId="14" borderId="21" xfId="0" applyFont="1" applyFill="1" applyBorder="1" applyAlignment="1">
      <alignment vertical="center" wrapText="1"/>
    </xf>
    <xf numFmtId="0" fontId="8" fillId="14" borderId="22" xfId="0" applyFont="1" applyFill="1" applyBorder="1" applyAlignment="1">
      <alignment vertical="center" wrapText="1"/>
    </xf>
    <xf numFmtId="0" fontId="8" fillId="14" borderId="43" xfId="0" applyFont="1" applyFill="1" applyBorder="1">
      <alignment vertical="center"/>
    </xf>
    <xf numFmtId="0" fontId="1" fillId="0" borderId="27" xfId="0" applyFont="1" applyBorder="1" applyAlignment="1">
      <alignment vertical="center" wrapText="1"/>
    </xf>
    <xf numFmtId="0" fontId="0" fillId="0" borderId="53" xfId="0" applyBorder="1">
      <alignment vertical="center"/>
    </xf>
    <xf numFmtId="0" fontId="0" fillId="2" borderId="54" xfId="0" applyFill="1" applyBorder="1" applyAlignment="1">
      <alignment vertical="center" wrapText="1"/>
    </xf>
    <xf numFmtId="0" fontId="0" fillId="2" borderId="39" xfId="0" applyFill="1" applyBorder="1" applyAlignment="1">
      <alignment vertical="center" wrapText="1"/>
    </xf>
    <xf numFmtId="0" fontId="0" fillId="2" borderId="55" xfId="0" applyFill="1" applyBorder="1">
      <alignment vertical="center"/>
    </xf>
    <xf numFmtId="0" fontId="1" fillId="0" borderId="26" xfId="0" applyFont="1" applyBorder="1" applyAlignment="1">
      <alignment vertical="center" wrapText="1"/>
    </xf>
    <xf numFmtId="0" fontId="26" fillId="15" borderId="16" xfId="0" applyFont="1" applyFill="1" applyBorder="1" applyAlignment="1">
      <alignment vertical="center" wrapText="1"/>
    </xf>
    <xf numFmtId="0" fontId="26" fillId="15" borderId="2" xfId="0" applyFont="1" applyFill="1" applyBorder="1" applyAlignment="1">
      <alignment vertical="center" wrapText="1"/>
    </xf>
    <xf numFmtId="0" fontId="28" fillId="15" borderId="17" xfId="0" applyFont="1" applyFill="1" applyBorder="1">
      <alignment vertical="center"/>
    </xf>
    <xf numFmtId="0" fontId="1" fillId="0" borderId="1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17" xfId="0" applyBorder="1">
      <alignment vertical="center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23" fillId="0" borderId="53" xfId="0" applyFont="1" applyBorder="1">
      <alignment vertical="center"/>
    </xf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50" xfId="0" applyFont="1" applyBorder="1" applyAlignment="1">
      <alignment vertical="center" wrapText="1"/>
    </xf>
    <xf numFmtId="0" fontId="8" fillId="35" borderId="42" xfId="0" applyFont="1" applyFill="1" applyBorder="1">
      <alignment vertical="center"/>
    </xf>
    <xf numFmtId="0" fontId="0" fillId="35" borderId="25" xfId="0" applyFill="1" applyBorder="1">
      <alignment vertical="center"/>
    </xf>
    <xf numFmtId="0" fontId="0" fillId="35" borderId="50" xfId="0" applyFill="1" applyBorder="1">
      <alignment vertical="center"/>
    </xf>
    <xf numFmtId="0" fontId="8" fillId="35" borderId="5" xfId="0" applyFont="1" applyFill="1" applyBorder="1">
      <alignment vertical="center"/>
    </xf>
    <xf numFmtId="0" fontId="0" fillId="35" borderId="5" xfId="0" applyFill="1" applyBorder="1">
      <alignment vertical="center"/>
    </xf>
    <xf numFmtId="0" fontId="0" fillId="35" borderId="6" xfId="0" applyFill="1" applyBorder="1">
      <alignment vertical="center"/>
    </xf>
    <xf numFmtId="0" fontId="0" fillId="35" borderId="7" xfId="0" applyFill="1" applyBorder="1">
      <alignment vertical="center"/>
    </xf>
    <xf numFmtId="0" fontId="0" fillId="35" borderId="0" xfId="0" applyFill="1" applyBorder="1">
      <alignment vertical="center"/>
    </xf>
    <xf numFmtId="0" fontId="0" fillId="35" borderId="8" xfId="0" applyFill="1" applyBorder="1">
      <alignment vertical="center"/>
    </xf>
    <xf numFmtId="0" fontId="1" fillId="35" borderId="5" xfId="0" applyFont="1" applyFill="1" applyBorder="1">
      <alignment vertical="center"/>
    </xf>
    <xf numFmtId="0" fontId="1" fillId="35" borderId="0" xfId="0" applyFont="1" applyFill="1" applyBorder="1">
      <alignment vertical="center"/>
    </xf>
    <xf numFmtId="0" fontId="1" fillId="35" borderId="10" xfId="0" applyFont="1" applyFill="1" applyBorder="1">
      <alignment vertical="center"/>
    </xf>
    <xf numFmtId="0" fontId="0" fillId="35" borderId="10" xfId="0" applyFill="1" applyBorder="1">
      <alignment vertical="center"/>
    </xf>
    <xf numFmtId="0" fontId="0" fillId="35" borderId="11" xfId="0" applyFill="1" applyBorder="1">
      <alignment vertical="center"/>
    </xf>
    <xf numFmtId="0" fontId="1" fillId="8" borderId="40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5" fillId="36" borderId="2" xfId="0" applyFont="1" applyFill="1" applyBorder="1">
      <alignment vertical="center"/>
    </xf>
    <xf numFmtId="0" fontId="0" fillId="0" borderId="2" xfId="0" applyNumberFormat="1" applyBorder="1">
      <alignment vertical="center"/>
    </xf>
    <xf numFmtId="0" fontId="23" fillId="0" borderId="56" xfId="0" applyFont="1" applyFill="1" applyBorder="1" applyAlignment="1">
      <alignment horizontal="right" vertical="center"/>
    </xf>
    <xf numFmtId="0" fontId="8" fillId="0" borderId="57" xfId="0" applyFont="1" applyFill="1" applyBorder="1">
      <alignment vertical="center"/>
    </xf>
    <xf numFmtId="0" fontId="23" fillId="0" borderId="57" xfId="0" applyFont="1" applyFill="1" applyBorder="1" applyAlignment="1">
      <alignment vertical="center" wrapText="1"/>
    </xf>
    <xf numFmtId="0" fontId="40" fillId="0" borderId="57" xfId="0" applyFont="1" applyFill="1" applyBorder="1">
      <alignment vertical="center"/>
    </xf>
    <xf numFmtId="0" fontId="1" fillId="3" borderId="0" xfId="0" applyFont="1" applyFill="1" applyAlignment="1">
      <alignment vertical="center" wrapText="1"/>
    </xf>
    <xf numFmtId="0" fontId="23" fillId="37" borderId="58" xfId="0" applyFont="1" applyFill="1" applyBorder="1" applyAlignment="1">
      <alignment horizontal="right" vertical="center"/>
    </xf>
    <xf numFmtId="0" fontId="23" fillId="37" borderId="59" xfId="0" applyFont="1" applyFill="1" applyBorder="1">
      <alignment vertical="center"/>
    </xf>
    <xf numFmtId="0" fontId="0" fillId="37" borderId="59" xfId="0" applyFont="1" applyFill="1" applyBorder="1" applyAlignment="1">
      <alignment vertical="center" wrapText="1"/>
    </xf>
    <xf numFmtId="0" fontId="40" fillId="37" borderId="59" xfId="6" applyFont="1" applyFill="1" applyBorder="1" applyAlignment="1">
      <alignment vertical="center" wrapText="1"/>
    </xf>
    <xf numFmtId="0" fontId="23" fillId="0" borderId="60" xfId="0" applyFont="1" applyFill="1" applyBorder="1" applyAlignment="1">
      <alignment horizontal="right" vertical="center"/>
    </xf>
    <xf numFmtId="0" fontId="8" fillId="0" borderId="61" xfId="0" applyFont="1" applyFill="1" applyBorder="1">
      <alignment vertical="center"/>
    </xf>
    <xf numFmtId="0" fontId="0" fillId="0" borderId="61" xfId="0" applyFont="1" applyFill="1" applyBorder="1" applyAlignment="1">
      <alignment vertical="center" wrapText="1"/>
    </xf>
    <xf numFmtId="0" fontId="40" fillId="0" borderId="61" xfId="6" applyFont="1" applyFill="1" applyBorder="1" applyAlignment="1">
      <alignment vertical="center" wrapText="1"/>
    </xf>
    <xf numFmtId="0" fontId="23" fillId="37" borderId="60" xfId="0" applyFont="1" applyFill="1" applyBorder="1" applyAlignment="1">
      <alignment horizontal="right" vertical="center"/>
    </xf>
    <xf numFmtId="0" fontId="23" fillId="37" borderId="61" xfId="0" applyFont="1" applyFill="1" applyBorder="1">
      <alignment vertical="center"/>
    </xf>
    <xf numFmtId="0" fontId="0" fillId="37" borderId="61" xfId="0" applyFont="1" applyFill="1" applyBorder="1" applyAlignment="1">
      <alignment vertical="center" wrapText="1"/>
    </xf>
    <xf numFmtId="0" fontId="40" fillId="37" borderId="61" xfId="6" applyFont="1" applyFill="1" applyBorder="1" applyAlignment="1">
      <alignment vertical="center" wrapText="1"/>
    </xf>
    <xf numFmtId="0" fontId="23" fillId="0" borderId="61" xfId="0" applyFont="1" applyFill="1" applyBorder="1">
      <alignment vertical="center"/>
    </xf>
    <xf numFmtId="0" fontId="40" fillId="0" borderId="61" xfId="0" applyFont="1" applyFill="1" applyBorder="1">
      <alignment vertical="center"/>
    </xf>
    <xf numFmtId="0" fontId="1" fillId="16" borderId="0" xfId="0" applyFont="1" applyFill="1">
      <alignment vertical="center"/>
    </xf>
    <xf numFmtId="0" fontId="0" fillId="16" borderId="0" xfId="0" applyFill="1">
      <alignment vertical="center"/>
    </xf>
    <xf numFmtId="0" fontId="1" fillId="37" borderId="61" xfId="0" applyFont="1" applyFill="1" applyBorder="1" applyAlignment="1">
      <alignment vertical="center" wrapText="1"/>
    </xf>
    <xf numFmtId="0" fontId="40" fillId="37" borderId="61" xfId="0" applyFont="1" applyFill="1" applyBorder="1">
      <alignment vertical="center"/>
    </xf>
    <xf numFmtId="0" fontId="1" fillId="0" borderId="61" xfId="0" applyFont="1" applyFill="1" applyBorder="1" applyAlignment="1">
      <alignment vertical="center" wrapText="1"/>
    </xf>
    <xf numFmtId="0" fontId="8" fillId="0" borderId="6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5" fillId="7" borderId="2" xfId="0" applyFont="1" applyFill="1" applyBorder="1" applyAlignment="1">
      <alignment vertical="center" wrapText="1"/>
    </xf>
    <xf numFmtId="0" fontId="23" fillId="0" borderId="56" xfId="0" applyFont="1" applyFill="1" applyBorder="1" applyAlignment="1" quotePrefix="1">
      <alignment horizontal="right" vertical="center"/>
    </xf>
    <xf numFmtId="0" fontId="23" fillId="37" borderId="58" xfId="0" applyFont="1" applyFill="1" applyBorder="1" applyAlignment="1" quotePrefix="1">
      <alignment horizontal="right" vertical="center"/>
    </xf>
    <xf numFmtId="0" fontId="23" fillId="0" borderId="60" xfId="0" applyFont="1" applyFill="1" applyBorder="1" applyAlignment="1" quotePrefix="1">
      <alignment horizontal="right" vertical="center"/>
    </xf>
    <xf numFmtId="0" fontId="23" fillId="37" borderId="60" xfId="0" applyFont="1" applyFill="1" applyBorder="1" applyAlignment="1" quotePrefix="1">
      <alignment horizontal="right" vertical="center"/>
    </xf>
    <xf numFmtId="0" fontId="29" fillId="32" borderId="4" xfId="0" applyFont="1" applyFill="1" applyBorder="1" quotePrefix="1">
      <alignment vertical="center"/>
    </xf>
    <xf numFmtId="0" fontId="1" fillId="0" borderId="2" xfId="0" applyFont="1" applyBorder="1" quotePrefix="1">
      <alignment vertical="center"/>
    </xf>
    <xf numFmtId="0" fontId="1" fillId="0" borderId="4" xfId="0" applyFont="1" applyBorder="1" quotePrefix="1">
      <alignment vertical="center"/>
    </xf>
    <xf numFmtId="0" fontId="1" fillId="0" borderId="7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26.png"/><Relationship Id="rId5" Type="http://schemas.openxmlformats.org/officeDocument/2006/relationships/image" Target="media/image25.png"/><Relationship Id="rId4" Type="http://schemas.openxmlformats.org/officeDocument/2006/relationships/image" Target="media/image24.jpeg"/><Relationship Id="rId3" Type="http://schemas.openxmlformats.org/officeDocument/2006/relationships/image" Target="media/image23.jpeg"/><Relationship Id="rId2" Type="http://schemas.openxmlformats.org/officeDocument/2006/relationships/image" Target="media/image22.jpeg"/><Relationship Id="rId1" Type="http://schemas.openxmlformats.org/officeDocument/2006/relationships/image" Target="media/image2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customXml" Target="../customXml/item4.xml"/><Relationship Id="rId20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9" Type="http://www.wps.cn/officeDocument/2020/cellImage" Target="cellimag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jpeg"/><Relationship Id="rId8" Type="http://schemas.openxmlformats.org/officeDocument/2006/relationships/image" Target="../media/image12.jpeg"/><Relationship Id="rId7" Type="http://schemas.openxmlformats.org/officeDocument/2006/relationships/image" Target="../media/image11.jpeg"/><Relationship Id="rId6" Type="http://schemas.openxmlformats.org/officeDocument/2006/relationships/image" Target="../media/image10.jpeg"/><Relationship Id="rId5" Type="http://schemas.openxmlformats.org/officeDocument/2006/relationships/image" Target="../media/image9.jpeg"/><Relationship Id="rId4" Type="http://schemas.openxmlformats.org/officeDocument/2006/relationships/image" Target="../media/image8.jpeg"/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5" Type="http://schemas.openxmlformats.org/officeDocument/2006/relationships/image" Target="../media/image19.jpeg"/><Relationship Id="rId14" Type="http://schemas.openxmlformats.org/officeDocument/2006/relationships/image" Target="../media/image18.png"/><Relationship Id="rId13" Type="http://schemas.openxmlformats.org/officeDocument/2006/relationships/image" Target="../media/image17.png"/><Relationship Id="rId12" Type="http://schemas.openxmlformats.org/officeDocument/2006/relationships/image" Target="../media/image16.png"/><Relationship Id="rId11" Type="http://schemas.openxmlformats.org/officeDocument/2006/relationships/image" Target="../media/image15.png"/><Relationship Id="rId10" Type="http://schemas.openxmlformats.org/officeDocument/2006/relationships/image" Target="../media/image14.png"/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4.xml.rels><?xml version="1.0" encoding="UTF-8" standalone="yes"?>
<Relationships xmlns="http://schemas.openxmlformats.org/package/2006/relationships"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jpeg"/><Relationship Id="rId3" Type="http://schemas.openxmlformats.org/officeDocument/2006/relationships/image" Target="../media/image23.jpeg"/><Relationship Id="rId2" Type="http://schemas.openxmlformats.org/officeDocument/2006/relationships/image" Target="../media/image22.jpeg"/><Relationship Id="rId1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152400</xdr:colOff>
      <xdr:row>107</xdr:row>
      <xdr:rowOff>154940</xdr:rowOff>
    </xdr:from>
    <xdr:to>
      <xdr:col>3</xdr:col>
      <xdr:colOff>644525</xdr:colOff>
      <xdr:row>126</xdr:row>
      <xdr:rowOff>127000</xdr:rowOff>
    </xdr:to>
    <xdr:pic>
      <xdr:nvPicPr>
        <xdr:cNvPr id="3" name="ID_BEB23DB867464D0894551478BCDC5DBD" descr="upload_post_object_v2_23983288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2809835"/>
          <a:ext cx="3683000" cy="5057775"/>
        </a:xfrm>
        <a:prstGeom prst="rect">
          <a:avLst/>
        </a:prstGeom>
      </xdr:spPr>
    </xdr:pic>
    <xdr:clientData/>
  </xdr:twoCellAnchor>
  <xdr:twoCellAnchor editAs="oneCell">
    <xdr:from>
      <xdr:col>1</xdr:col>
      <xdr:colOff>641350</xdr:colOff>
      <xdr:row>1</xdr:row>
      <xdr:rowOff>114300</xdr:rowOff>
    </xdr:from>
    <xdr:to>
      <xdr:col>4</xdr:col>
      <xdr:colOff>853440</xdr:colOff>
      <xdr:row>4</xdr:row>
      <xdr:rowOff>1104900</xdr:rowOff>
    </xdr:to>
    <xdr:pic>
      <xdr:nvPicPr>
        <xdr:cNvPr id="2" name="ID_4AE440D6B3544526A74E594A19E16387" descr="upload_post_object_v2_6891319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3800" y="581025"/>
          <a:ext cx="4669790" cy="3438525"/>
        </a:xfrm>
        <a:prstGeom prst="rect">
          <a:avLst/>
        </a:prstGeom>
      </xdr:spPr>
    </xdr:pic>
    <xdr:clientData/>
  </xdr:twoCellAnchor>
  <xdr:twoCellAnchor editAs="oneCell">
    <xdr:from>
      <xdr:col>10</xdr:col>
      <xdr:colOff>166370</xdr:colOff>
      <xdr:row>48</xdr:row>
      <xdr:rowOff>47625</xdr:rowOff>
    </xdr:from>
    <xdr:to>
      <xdr:col>10</xdr:col>
      <xdr:colOff>1337945</xdr:colOff>
      <xdr:row>51</xdr:row>
      <xdr:rowOff>38100</xdr:rowOff>
    </xdr:to>
    <xdr:pic>
      <xdr:nvPicPr>
        <xdr:cNvPr id="4" name="ID_884617ADA7064117978F313AB6276898" descr="upload_post_object_v2_186231109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225520" y="12172950"/>
          <a:ext cx="1171575" cy="514350"/>
        </a:xfrm>
        <a:prstGeom prst="rect">
          <a:avLst/>
        </a:prstGeom>
      </xdr:spPr>
    </xdr:pic>
    <xdr:clientData/>
  </xdr:twoCellAnchor>
  <xdr:twoCellAnchor editAs="oneCell">
    <xdr:from>
      <xdr:col>5</xdr:col>
      <xdr:colOff>2400300</xdr:colOff>
      <xdr:row>41</xdr:row>
      <xdr:rowOff>428625</xdr:rowOff>
    </xdr:from>
    <xdr:to>
      <xdr:col>11</xdr:col>
      <xdr:colOff>8890</xdr:colOff>
      <xdr:row>57</xdr:row>
      <xdr:rowOff>109220</xdr:rowOff>
    </xdr:to>
    <xdr:pic>
      <xdr:nvPicPr>
        <xdr:cNvPr id="7" name="ID_21D444B4FA5D44AE8C671F5E8EBDBE63" descr="upload_post_object_v2_24980241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124950" y="11049000"/>
          <a:ext cx="8295640" cy="2738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73660</xdr:colOff>
      <xdr:row>46</xdr:row>
      <xdr:rowOff>47625</xdr:rowOff>
    </xdr:from>
    <xdr:to>
      <xdr:col>7</xdr:col>
      <xdr:colOff>94615</xdr:colOff>
      <xdr:row>82</xdr:row>
      <xdr:rowOff>109220</xdr:rowOff>
    </xdr:to>
    <xdr:pic>
      <xdr:nvPicPr>
        <xdr:cNvPr id="2" name="ID_A4DFE09B25B84CA3AD3C1106C73D1937" descr="upload_post_object_v2_67509357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660" y="8984615"/>
          <a:ext cx="5278755" cy="7014845"/>
        </a:xfrm>
        <a:prstGeom prst="rect">
          <a:avLst/>
        </a:prstGeom>
      </xdr:spPr>
    </xdr:pic>
    <xdr:clientData/>
  </xdr:twoCellAnchor>
  <xdr:twoCellAnchor editAs="oneCell">
    <xdr:from>
      <xdr:col>7</xdr:col>
      <xdr:colOff>179070</xdr:colOff>
      <xdr:row>46</xdr:row>
      <xdr:rowOff>1905</xdr:rowOff>
    </xdr:from>
    <xdr:to>
      <xdr:col>14</xdr:col>
      <xdr:colOff>650240</xdr:colOff>
      <xdr:row>82</xdr:row>
      <xdr:rowOff>76200</xdr:rowOff>
    </xdr:to>
    <xdr:pic>
      <xdr:nvPicPr>
        <xdr:cNvPr id="3" name="ID_ACEF8C1A47C948ADAB66939A95934FCC" descr="upload_post_object_v2_42097490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36870" y="8938895"/>
          <a:ext cx="5271770" cy="702754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87</xdr:row>
      <xdr:rowOff>24130</xdr:rowOff>
    </xdr:from>
    <xdr:to>
      <xdr:col>7</xdr:col>
      <xdr:colOff>114300</xdr:colOff>
      <xdr:row>129</xdr:row>
      <xdr:rowOff>79375</xdr:rowOff>
    </xdr:to>
    <xdr:pic>
      <xdr:nvPicPr>
        <xdr:cNvPr id="4" name="ID_BD31850E328C4EBA8B9C498574D9EC27" descr="upload_post_object_v2_73802005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16771620"/>
          <a:ext cx="5371465" cy="7256145"/>
        </a:xfrm>
        <a:prstGeom prst="rect">
          <a:avLst/>
        </a:prstGeom>
      </xdr:spPr>
    </xdr:pic>
    <xdr:clientData/>
  </xdr:twoCellAnchor>
  <xdr:twoCellAnchor editAs="oneCell">
    <xdr:from>
      <xdr:col>7</xdr:col>
      <xdr:colOff>141605</xdr:colOff>
      <xdr:row>87</xdr:row>
      <xdr:rowOff>17145</xdr:rowOff>
    </xdr:from>
    <xdr:to>
      <xdr:col>15</xdr:col>
      <xdr:colOff>26670</xdr:colOff>
      <xdr:row>129</xdr:row>
      <xdr:rowOff>73660</xdr:rowOff>
    </xdr:to>
    <xdr:pic>
      <xdr:nvPicPr>
        <xdr:cNvPr id="5" name="ID_A1E9A384546F48ABA3D1791EB918E1A9" descr="upload_post_object_v2_340689716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399405" y="16764635"/>
          <a:ext cx="5371465" cy="7257415"/>
        </a:xfrm>
        <a:prstGeom prst="rect">
          <a:avLst/>
        </a:prstGeom>
      </xdr:spPr>
    </xdr:pic>
    <xdr:clientData/>
  </xdr:twoCellAnchor>
  <xdr:twoCellAnchor editAs="oneCell">
    <xdr:from>
      <xdr:col>15</xdr:col>
      <xdr:colOff>52070</xdr:colOff>
      <xdr:row>87</xdr:row>
      <xdr:rowOff>6350</xdr:rowOff>
    </xdr:from>
    <xdr:to>
      <xdr:col>25</xdr:col>
      <xdr:colOff>5080</xdr:colOff>
      <xdr:row>126</xdr:row>
      <xdr:rowOff>24130</xdr:rowOff>
    </xdr:to>
    <xdr:pic>
      <xdr:nvPicPr>
        <xdr:cNvPr id="6" name="ID_7503247D57E14CCC8CB63798C338C372" descr="upload_post_object_v2_1790200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796270" y="16753840"/>
          <a:ext cx="7108825" cy="6704330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</xdr:colOff>
      <xdr:row>46</xdr:row>
      <xdr:rowOff>7620</xdr:rowOff>
    </xdr:from>
    <xdr:to>
      <xdr:col>22</xdr:col>
      <xdr:colOff>610870</xdr:colOff>
      <xdr:row>82</xdr:row>
      <xdr:rowOff>90805</xdr:rowOff>
    </xdr:to>
    <xdr:pic>
      <xdr:nvPicPr>
        <xdr:cNvPr id="10" name="ID_F72054D7E4B944E9BC5DF10876E3A1FB" descr="upload_post_object_v2_5870899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440160" y="8944610"/>
          <a:ext cx="4718050" cy="7036435"/>
        </a:xfrm>
        <a:prstGeom prst="rect">
          <a:avLst/>
        </a:prstGeom>
      </xdr:spPr>
    </xdr:pic>
    <xdr:clientData/>
  </xdr:twoCellAnchor>
  <xdr:twoCellAnchor editAs="oneCell">
    <xdr:from>
      <xdr:col>23</xdr:col>
      <xdr:colOff>629920</xdr:colOff>
      <xdr:row>46</xdr:row>
      <xdr:rowOff>9525</xdr:rowOff>
    </xdr:from>
    <xdr:to>
      <xdr:col>28</xdr:col>
      <xdr:colOff>722630</xdr:colOff>
      <xdr:row>75</xdr:row>
      <xdr:rowOff>144145</xdr:rowOff>
    </xdr:to>
    <xdr:pic>
      <xdr:nvPicPr>
        <xdr:cNvPr id="11" name="ID_4B16646BBE614A1EA1CD521A7D02686C" descr="upload_post_object_v2_285390260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967835" y="8946515"/>
          <a:ext cx="4178935" cy="5887720"/>
        </a:xfrm>
        <a:prstGeom prst="rect">
          <a:avLst/>
        </a:prstGeom>
      </xdr:spPr>
    </xdr:pic>
    <xdr:clientData/>
  </xdr:twoCellAnchor>
  <xdr:twoCellAnchor editAs="oneCell">
    <xdr:from>
      <xdr:col>29</xdr:col>
      <xdr:colOff>541020</xdr:colOff>
      <xdr:row>46</xdr:row>
      <xdr:rowOff>9525</xdr:rowOff>
    </xdr:from>
    <xdr:to>
      <xdr:col>36</xdr:col>
      <xdr:colOff>353695</xdr:colOff>
      <xdr:row>80</xdr:row>
      <xdr:rowOff>79375</xdr:rowOff>
    </xdr:to>
    <xdr:pic>
      <xdr:nvPicPr>
        <xdr:cNvPr id="12" name="ID_606620FE29174A7883EA090204E123B8" descr="upload_post_object_v2_307465700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927185" y="8946515"/>
          <a:ext cx="4613275" cy="6680200"/>
        </a:xfrm>
        <a:prstGeom prst="rect">
          <a:avLst/>
        </a:prstGeom>
      </xdr:spPr>
    </xdr:pic>
    <xdr:clientData/>
  </xdr:twoCellAnchor>
  <xdr:twoCellAnchor editAs="oneCell">
    <xdr:from>
      <xdr:col>29</xdr:col>
      <xdr:colOff>495300</xdr:colOff>
      <xdr:row>7</xdr:row>
      <xdr:rowOff>125095</xdr:rowOff>
    </xdr:from>
    <xdr:to>
      <xdr:col>36</xdr:col>
      <xdr:colOff>669290</xdr:colOff>
      <xdr:row>44</xdr:row>
      <xdr:rowOff>62865</xdr:rowOff>
    </xdr:to>
    <xdr:pic>
      <xdr:nvPicPr>
        <xdr:cNvPr id="13" name="ID_E769D0DC8F404DDDB54F644047E11F3F" descr="upload_post_object_v2_337767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881465" y="1659890"/>
          <a:ext cx="4974590" cy="6997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10</xdr:col>
      <xdr:colOff>342900</xdr:colOff>
      <xdr:row>174</xdr:row>
      <xdr:rowOff>17780</xdr:rowOff>
    </xdr:to>
    <xdr:pic>
      <xdr:nvPicPr>
        <xdr:cNvPr id="7" name="图片 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24805640"/>
          <a:ext cx="7658100" cy="687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333375</xdr:colOff>
      <xdr:row>134</xdr:row>
      <xdr:rowOff>94615</xdr:rowOff>
    </xdr:from>
    <xdr:to>
      <xdr:col>21</xdr:col>
      <xdr:colOff>454660</xdr:colOff>
      <xdr:row>174</xdr:row>
      <xdr:rowOff>66040</xdr:rowOff>
    </xdr:to>
    <xdr:pic>
      <xdr:nvPicPr>
        <xdr:cNvPr id="8" name="图片 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648575" y="24900255"/>
          <a:ext cx="7667625" cy="6829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</xdr:row>
      <xdr:rowOff>132715</xdr:rowOff>
    </xdr:from>
    <xdr:to>
      <xdr:col>10</xdr:col>
      <xdr:colOff>333375</xdr:colOff>
      <xdr:row>213</xdr:row>
      <xdr:rowOff>94615</xdr:rowOff>
    </xdr:to>
    <xdr:pic>
      <xdr:nvPicPr>
        <xdr:cNvPr id="9" name="图片 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31624905"/>
          <a:ext cx="7648575" cy="6819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353695</xdr:colOff>
      <xdr:row>174</xdr:row>
      <xdr:rowOff>10160</xdr:rowOff>
    </xdr:from>
    <xdr:to>
      <xdr:col>21</xdr:col>
      <xdr:colOff>84455</xdr:colOff>
      <xdr:row>213</xdr:row>
      <xdr:rowOff>95885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68895" y="31673800"/>
          <a:ext cx="7277100" cy="6772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213</xdr:row>
      <xdr:rowOff>113665</xdr:rowOff>
    </xdr:from>
    <xdr:to>
      <xdr:col>10</xdr:col>
      <xdr:colOff>304800</xdr:colOff>
      <xdr:row>254</xdr:row>
      <xdr:rowOff>10160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525" y="38463855"/>
          <a:ext cx="7610475" cy="6925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335280</xdr:colOff>
      <xdr:row>213</xdr:row>
      <xdr:rowOff>104140</xdr:rowOff>
    </xdr:from>
    <xdr:to>
      <xdr:col>19</xdr:col>
      <xdr:colOff>33655</xdr:colOff>
      <xdr:row>245</xdr:row>
      <xdr:rowOff>116205</xdr:rowOff>
    </xdr:to>
    <xdr:pic>
      <xdr:nvPicPr>
        <xdr:cNvPr id="16" name="ID_3EC76345C5604AC385F3E1BD5EB213F0" descr="upload_post_object_v2_112096195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650480" y="38454330"/>
          <a:ext cx="5873115" cy="54984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533400</xdr:colOff>
      <xdr:row>1</xdr:row>
      <xdr:rowOff>10795</xdr:rowOff>
    </xdr:from>
    <xdr:to>
      <xdr:col>7</xdr:col>
      <xdr:colOff>561975</xdr:colOff>
      <xdr:row>40</xdr:row>
      <xdr:rowOff>121920</xdr:rowOff>
    </xdr:to>
    <xdr:pic>
      <xdr:nvPicPr>
        <xdr:cNvPr id="4" name="ID_B48F1B7FB3ED486FB1709EEB833587E9" descr="upload_post_object_v2_219780789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3400" y="182245"/>
          <a:ext cx="4829175" cy="6807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189865</xdr:colOff>
      <xdr:row>29</xdr:row>
      <xdr:rowOff>120650</xdr:rowOff>
    </xdr:to>
    <xdr:pic>
      <xdr:nvPicPr>
        <xdr:cNvPr id="2" name="ID_853D4A31C2674E7C924D944E4908687B" descr="upload_post_object_v2_62399664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6425" y="25067260"/>
          <a:ext cx="3618865" cy="5092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95250</xdr:colOff>
      <xdr:row>11</xdr:row>
      <xdr:rowOff>9525</xdr:rowOff>
    </xdr:to>
    <xdr:pic>
      <xdr:nvPicPr>
        <xdr:cNvPr id="3" name="ID_9BC68C4A9AC04E2FB6CF12F75BE6269A" descr="upload_post_object_v2_864194299"/>
        <xdr:cNvPicPr/>
      </xdr:nvPicPr>
      <xdr:blipFill>
        <a:blip r:embed="rId2"/>
        <a:stretch>
          <a:fillRect/>
        </a:stretch>
      </xdr:blipFill>
      <xdr:spPr>
        <a:xfrm>
          <a:off x="0" y="0"/>
          <a:ext cx="2838450" cy="1895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171450</xdr:colOff>
      <xdr:row>11</xdr:row>
      <xdr:rowOff>57150</xdr:rowOff>
    </xdr:to>
    <xdr:pic>
      <xdr:nvPicPr>
        <xdr:cNvPr id="4" name="ID_50FF1B0D9A64409DA8129808340625E3" descr="upload_post_object_v2_3883534209"/>
        <xdr:cNvPicPr/>
      </xdr:nvPicPr>
      <xdr:blipFill>
        <a:blip r:embed="rId3"/>
        <a:stretch>
          <a:fillRect/>
        </a:stretch>
      </xdr:blipFill>
      <xdr:spPr>
        <a:xfrm>
          <a:off x="0" y="0"/>
          <a:ext cx="2914650" cy="1943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238125</xdr:colOff>
      <xdr:row>10</xdr:row>
      <xdr:rowOff>0</xdr:rowOff>
    </xdr:to>
    <xdr:pic>
      <xdr:nvPicPr>
        <xdr:cNvPr id="5" name="ID_4C3BB1DC997640D881C9CBE938749B5C" descr="upload_post_object_v2_1843847136"/>
        <xdr:cNvPicPr/>
      </xdr:nvPicPr>
      <xdr:blipFill>
        <a:blip r:embed="rId4"/>
        <a:stretch>
          <a:fillRect/>
        </a:stretch>
      </xdr:blipFill>
      <xdr:spPr>
        <a:xfrm>
          <a:off x="0" y="0"/>
          <a:ext cx="2295525" cy="171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6" name="ID_C867BE89B4F04B0C868763E8DD1CD45A" descr="upload_post_object_v2_845652862"/>
        <xdr:cNvPicPr/>
      </xdr:nvPicPr>
      <xdr:blipFill>
        <a:blip r:embed="rId5"/>
        <a:stretch>
          <a:fillRect/>
        </a:stretch>
      </xdr:blipFill>
      <xdr:spPr>
        <a:xfrm>
          <a:off x="0" y="0"/>
          <a:ext cx="2057400" cy="971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581025</xdr:colOff>
      <xdr:row>5</xdr:row>
      <xdr:rowOff>95250</xdr:rowOff>
    </xdr:to>
    <xdr:pic>
      <xdr:nvPicPr>
        <xdr:cNvPr id="7" name="ID_85E91E88D9094E26BFE971ADD9762798" descr="upload_post_object_v2_4221377803"/>
        <xdr:cNvPicPr/>
      </xdr:nvPicPr>
      <xdr:blipFill>
        <a:blip r:embed="rId6"/>
        <a:stretch>
          <a:fillRect/>
        </a:stretch>
      </xdr:blipFill>
      <xdr:spPr>
        <a:xfrm>
          <a:off x="0" y="0"/>
          <a:ext cx="1952625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8CBAD"/>
  </sheetPr>
  <dimension ref="A3:K77"/>
  <sheetViews>
    <sheetView workbookViewId="0">
      <selection activeCell="E111" sqref="E111"/>
    </sheetView>
  </sheetViews>
  <sheetFormatPr defaultColWidth="9" defaultRowHeight="13.5"/>
  <cols>
    <col min="1" max="1" width="14" customWidth="1"/>
    <col min="2" max="2" width="22.375" customWidth="1"/>
    <col min="3" max="3" width="11.875" customWidth="1"/>
    <col min="4" max="4" width="79.125" customWidth="1"/>
    <col min="5" max="5" width="39.375" customWidth="1"/>
    <col min="6" max="6" width="16.375" customWidth="1"/>
    <col min="7" max="7" width="9" customWidth="1"/>
    <col min="8" max="8" width="10.875" customWidth="1"/>
    <col min="9" max="9" width="46.75" customWidth="1"/>
    <col min="10" max="16382" width="9" customWidth="1"/>
  </cols>
  <sheetData>
    <row r="3" spans="1:11">
      <c r="A3" s="481" t="s">
        <v>0</v>
      </c>
      <c r="E3" s="481" t="s">
        <v>1</v>
      </c>
    </row>
    <row r="4" ht="176.25" spans="1:11">
      <c r="A4" s="482" t="s">
        <v>2</v>
      </c>
      <c r="B4" s="513" t="s">
        <v>3</v>
      </c>
      <c r="C4" s="484" t="s">
        <v>4</v>
      </c>
      <c r="D4" s="485" t="s">
        <v>5</v>
      </c>
      <c r="E4" s="486"/>
      <c r="I4" s="487" t="s">
        <v>6</v>
      </c>
    </row>
    <row r="5" spans="1:11">
      <c r="A5" s="482" t="s">
        <v>2</v>
      </c>
      <c r="B5" s="514" t="s">
        <v>7</v>
      </c>
      <c r="C5" s="489" t="s">
        <v>8</v>
      </c>
      <c r="D5" s="490" t="s">
        <v>9</v>
      </c>
      <c r="E5" s="491" t="str">
        <f>HYPERLINK("#案子!B107","熔炼界面案子")</f>
        <v>熔炼界面案子</v>
      </c>
      <c r="I5" s="1" t="s">
        <v>10</v>
      </c>
    </row>
    <row r="6" spans="1:11">
      <c r="A6" s="482" t="s">
        <v>2</v>
      </c>
      <c r="B6" s="515" t="s">
        <v>11</v>
      </c>
      <c r="C6" s="493" t="s">
        <v>12</v>
      </c>
      <c r="D6" s="494" t="s">
        <v>13</v>
      </c>
      <c r="E6" s="495" t="str">
        <f>HYPERLINK("#案子!G32","产出规则")</f>
        <v>产出规则</v>
      </c>
      <c r="I6" s="16" t="s">
        <v>14</v>
      </c>
    </row>
    <row r="7" spans="1:11">
      <c r="A7" s="482" t="s">
        <v>2</v>
      </c>
      <c r="B7" s="516" t="s">
        <v>15</v>
      </c>
      <c r="C7" s="497" t="s">
        <v>16</v>
      </c>
      <c r="D7" s="498" t="s">
        <v>17</v>
      </c>
      <c r="E7" s="499" t="str">
        <f>HYPERLINK("#熔炼属性池!A33","熔炼属性池表")</f>
        <v>熔炼属性池表</v>
      </c>
    </row>
    <row r="8" ht="27" spans="1:11">
      <c r="A8" s="482" t="s">
        <v>2</v>
      </c>
      <c r="B8" s="515" t="s">
        <v>18</v>
      </c>
      <c r="C8" s="500" t="s">
        <v>19</v>
      </c>
      <c r="D8" s="494" t="s">
        <v>20</v>
      </c>
      <c r="E8" s="501"/>
      <c r="F8" s="502" t="s">
        <v>21</v>
      </c>
      <c r="G8" s="503"/>
      <c r="H8" s="503"/>
      <c r="I8" s="503"/>
      <c r="J8" s="503"/>
      <c r="K8" s="503"/>
    </row>
    <row r="9" ht="27" spans="1:11">
      <c r="A9" s="482" t="s">
        <v>2</v>
      </c>
      <c r="B9" s="516" t="s">
        <v>22</v>
      </c>
      <c r="C9" s="497" t="s">
        <v>23</v>
      </c>
      <c r="D9" s="504" t="s">
        <v>24</v>
      </c>
      <c r="E9" s="505"/>
    </row>
    <row r="10" ht="67.5" spans="1:11">
      <c r="A10" s="482" t="s">
        <v>2</v>
      </c>
      <c r="B10" s="515" t="s">
        <v>25</v>
      </c>
      <c r="C10" s="500" t="s">
        <v>26</v>
      </c>
      <c r="D10" s="506" t="s">
        <v>27</v>
      </c>
      <c r="E10" s="501"/>
      <c r="F10" s="16" t="s">
        <v>28</v>
      </c>
    </row>
    <row r="11" ht="27" spans="1:11">
      <c r="A11" s="482" t="s">
        <v>2</v>
      </c>
      <c r="B11" s="516" t="s">
        <v>29</v>
      </c>
      <c r="C11" s="497" t="s">
        <v>12</v>
      </c>
      <c r="D11" s="498" t="s">
        <v>30</v>
      </c>
      <c r="E11" s="499" t="str">
        <f>HYPERLINK("#案子!G9","掉落产出表")</f>
        <v>掉落产出表</v>
      </c>
      <c r="I11" s="1" t="s">
        <v>31</v>
      </c>
    </row>
    <row r="12" ht="40.5" spans="1:11">
      <c r="A12" s="482" t="s">
        <v>2</v>
      </c>
      <c r="B12" s="515" t="s">
        <v>32</v>
      </c>
      <c r="C12" s="507" t="s">
        <v>33</v>
      </c>
      <c r="D12" s="506" t="s">
        <v>34</v>
      </c>
      <c r="E12" s="501"/>
      <c r="I12" s="1" t="s">
        <v>35</v>
      </c>
    </row>
    <row r="13" spans="1:11">
      <c r="A13" s="482" t="s">
        <v>2</v>
      </c>
      <c r="B13" s="516" t="s">
        <v>36</v>
      </c>
      <c r="C13" s="497" t="s">
        <v>37</v>
      </c>
      <c r="D13" s="498" t="s">
        <v>38</v>
      </c>
      <c r="E13" s="499" t="str">
        <f>HYPERLINK("#装备属性池!A33","属性数值表")</f>
        <v>属性数值表</v>
      </c>
    </row>
    <row r="14" spans="1:11">
      <c r="A14" s="40"/>
      <c r="E14" s="1"/>
    </row>
    <row r="15" spans="1:11">
      <c r="E15" s="1"/>
    </row>
    <row r="16" spans="1:11">
      <c r="D16" s="1" t="s">
        <v>39</v>
      </c>
      <c r="E16" s="1"/>
    </row>
    <row r="18" spans="1:6">
      <c r="A18" s="39" t="s">
        <v>40</v>
      </c>
      <c r="B18" s="418" t="s">
        <v>41</v>
      </c>
      <c r="C18" s="418" t="s">
        <v>42</v>
      </c>
      <c r="D18" s="418" t="s">
        <v>43</v>
      </c>
      <c r="E18" s="418" t="s">
        <v>44</v>
      </c>
    </row>
    <row r="19" ht="27" spans="1:6">
      <c r="A19" s="39" t="s">
        <v>45</v>
      </c>
      <c r="B19" s="508" t="s">
        <v>46</v>
      </c>
      <c r="C19" s="508" t="s">
        <v>47</v>
      </c>
      <c r="D19" s="508" t="s">
        <v>48</v>
      </c>
      <c r="E19" s="508" t="s">
        <v>49</v>
      </c>
    </row>
    <row r="20" spans="1:6">
      <c r="A20" s="39" t="s">
        <v>50</v>
      </c>
      <c r="B20" s="37" t="s">
        <v>51</v>
      </c>
      <c r="C20" s="37" t="s">
        <v>52</v>
      </c>
      <c r="D20" s="37" t="s">
        <v>53</v>
      </c>
      <c r="E20" s="509" t="s">
        <v>54</v>
      </c>
      <c r="F20" s="1"/>
    </row>
    <row r="21" spans="1:6">
      <c r="A21" s="39" t="s">
        <v>50</v>
      </c>
      <c r="B21" s="39" t="s">
        <v>55</v>
      </c>
      <c r="C21" s="39" t="s">
        <v>47</v>
      </c>
      <c r="D21" s="39" t="s">
        <v>56</v>
      </c>
      <c r="E21" s="456" t="s">
        <v>54</v>
      </c>
      <c r="F21" s="1"/>
    </row>
    <row r="22" spans="1:6">
      <c r="A22" s="39" t="s">
        <v>50</v>
      </c>
      <c r="B22" s="39" t="s">
        <v>57</v>
      </c>
      <c r="C22" s="39" t="s">
        <v>47</v>
      </c>
      <c r="D22" s="40"/>
      <c r="E22" s="510"/>
    </row>
    <row r="23" spans="1:6">
      <c r="A23" s="39" t="s">
        <v>50</v>
      </c>
      <c r="B23" s="39" t="s">
        <v>58</v>
      </c>
      <c r="C23" s="39" t="s">
        <v>47</v>
      </c>
      <c r="D23" s="40"/>
      <c r="E23" s="510"/>
    </row>
    <row r="24" spans="1:6">
      <c r="A24" s="39" t="s">
        <v>59</v>
      </c>
      <c r="B24" s="7" t="s">
        <v>60</v>
      </c>
      <c r="C24" s="37" t="s">
        <v>61</v>
      </c>
      <c r="D24" s="37"/>
      <c r="E24" s="7"/>
      <c r="F24" s="1" t="s">
        <v>62</v>
      </c>
    </row>
    <row r="25" spans="1:6">
      <c r="A25" s="39" t="s">
        <v>59</v>
      </c>
      <c r="B25" s="7" t="s">
        <v>63</v>
      </c>
      <c r="C25" s="37" t="s">
        <v>61</v>
      </c>
      <c r="D25" s="7"/>
      <c r="E25" s="7"/>
    </row>
    <row r="26" spans="1:6">
      <c r="A26" s="39" t="s">
        <v>59</v>
      </c>
      <c r="B26" s="7" t="s">
        <v>64</v>
      </c>
      <c r="C26" s="37" t="s">
        <v>61</v>
      </c>
      <c r="D26" s="7"/>
      <c r="E26" s="7"/>
    </row>
    <row r="27" spans="1:6">
      <c r="A27" s="39" t="s">
        <v>59</v>
      </c>
      <c r="B27" s="7" t="s">
        <v>65</v>
      </c>
      <c r="C27" s="37" t="s">
        <v>61</v>
      </c>
      <c r="D27" s="7"/>
      <c r="E27" s="7"/>
    </row>
    <row r="28" spans="1:6">
      <c r="A28" s="39" t="s">
        <v>59</v>
      </c>
      <c r="B28" s="7" t="s">
        <v>66</v>
      </c>
      <c r="C28" s="37" t="s">
        <v>61</v>
      </c>
      <c r="D28" s="7"/>
      <c r="E28" s="7"/>
    </row>
    <row r="29" spans="1:6">
      <c r="A29" s="39" t="s">
        <v>67</v>
      </c>
      <c r="B29" s="7" t="s">
        <v>68</v>
      </c>
      <c r="C29" s="37" t="s">
        <v>61</v>
      </c>
      <c r="D29" s="7"/>
      <c r="E29" s="7"/>
    </row>
    <row r="30" spans="1:6">
      <c r="A30" s="39" t="s">
        <v>67</v>
      </c>
      <c r="B30" s="7" t="s">
        <v>69</v>
      </c>
      <c r="C30" s="37" t="s">
        <v>61</v>
      </c>
      <c r="D30" s="7"/>
      <c r="E30" s="7"/>
    </row>
    <row r="31" spans="1:6">
      <c r="A31" s="39" t="s">
        <v>67</v>
      </c>
      <c r="B31" s="7" t="s">
        <v>70</v>
      </c>
      <c r="C31" s="37" t="s">
        <v>61</v>
      </c>
      <c r="D31" s="7"/>
      <c r="E31" s="7"/>
    </row>
    <row r="32" spans="1:6">
      <c r="A32" s="39" t="s">
        <v>71</v>
      </c>
      <c r="B32" s="37" t="s">
        <v>72</v>
      </c>
      <c r="C32" s="37" t="s">
        <v>61</v>
      </c>
      <c r="D32" s="7"/>
      <c r="E32" s="7"/>
    </row>
    <row r="33" spans="1:5">
      <c r="A33" s="39" t="s">
        <v>73</v>
      </c>
      <c r="B33" s="37" t="s">
        <v>74</v>
      </c>
      <c r="C33" s="37" t="s">
        <v>61</v>
      </c>
      <c r="D33" s="7"/>
      <c r="E33" s="7"/>
    </row>
    <row r="34" spans="1:5">
      <c r="A34" s="39" t="s">
        <v>75</v>
      </c>
      <c r="B34" s="37" t="s">
        <v>76</v>
      </c>
      <c r="C34" s="37" t="s">
        <v>61</v>
      </c>
      <c r="D34" s="7"/>
      <c r="E34" s="7"/>
    </row>
    <row r="35" spans="1:5">
      <c r="A35" s="39" t="s">
        <v>77</v>
      </c>
      <c r="B35" s="37" t="s">
        <v>78</v>
      </c>
      <c r="C35" s="37" t="s">
        <v>61</v>
      </c>
      <c r="D35" s="7"/>
      <c r="E35" s="7"/>
    </row>
    <row r="36" spans="1:5">
      <c r="A36" s="39" t="s">
        <v>79</v>
      </c>
      <c r="B36" s="37" t="s">
        <v>80</v>
      </c>
      <c r="C36" s="37" t="s">
        <v>61</v>
      </c>
      <c r="D36" s="7"/>
      <c r="E36" s="7"/>
    </row>
    <row r="37" spans="1:5">
      <c r="A37" s="39" t="s">
        <v>81</v>
      </c>
      <c r="B37" s="37" t="s">
        <v>82</v>
      </c>
      <c r="C37" s="37" t="s">
        <v>61</v>
      </c>
      <c r="D37" s="7"/>
      <c r="E37" s="7"/>
    </row>
    <row r="38" spans="1:5">
      <c r="A38" s="39" t="s">
        <v>83</v>
      </c>
      <c r="B38" s="37" t="s">
        <v>84</v>
      </c>
      <c r="C38" s="37" t="s">
        <v>61</v>
      </c>
      <c r="D38" s="7"/>
      <c r="E38" s="7"/>
    </row>
    <row r="39" spans="1:5">
      <c r="A39" s="39" t="s">
        <v>85</v>
      </c>
      <c r="B39" s="37" t="s">
        <v>86</v>
      </c>
      <c r="C39" s="37" t="s">
        <v>61</v>
      </c>
      <c r="D39" s="7"/>
      <c r="E39" s="7"/>
    </row>
    <row r="40" spans="1:5">
      <c r="A40" s="39" t="s">
        <v>87</v>
      </c>
      <c r="B40" s="37" t="s">
        <v>88</v>
      </c>
      <c r="C40" s="37" t="s">
        <v>61</v>
      </c>
      <c r="D40" s="7"/>
      <c r="E40" s="7"/>
    </row>
    <row r="41" spans="1:5">
      <c r="A41" s="39" t="s">
        <v>89</v>
      </c>
      <c r="B41" s="37" t="s">
        <v>90</v>
      </c>
      <c r="C41" s="37" t="s">
        <v>61</v>
      </c>
      <c r="D41" s="7"/>
      <c r="E41" s="7"/>
    </row>
    <row r="42" spans="1:5">
      <c r="A42" s="39" t="s">
        <v>91</v>
      </c>
      <c r="B42" s="37" t="s">
        <v>92</v>
      </c>
      <c r="C42" s="37" t="s">
        <v>61</v>
      </c>
      <c r="D42" s="7"/>
      <c r="E42" s="7"/>
    </row>
    <row r="43" spans="1:5">
      <c r="A43" s="39" t="s">
        <v>93</v>
      </c>
      <c r="B43" s="37" t="s">
        <v>94</v>
      </c>
      <c r="C43" s="37" t="s">
        <v>61</v>
      </c>
      <c r="D43" s="7"/>
      <c r="E43" s="7"/>
    </row>
    <row r="44" spans="1:5">
      <c r="A44" s="39" t="s">
        <v>95</v>
      </c>
      <c r="B44" s="37" t="s">
        <v>96</v>
      </c>
      <c r="C44" s="37" t="s">
        <v>61</v>
      </c>
      <c r="D44" s="7"/>
      <c r="E44" s="7"/>
    </row>
    <row r="45" spans="1:5">
      <c r="A45" s="39" t="s">
        <v>97</v>
      </c>
      <c r="B45" s="37" t="s">
        <v>98</v>
      </c>
      <c r="C45" s="37" t="s">
        <v>61</v>
      </c>
      <c r="D45" s="7"/>
      <c r="E45" s="7"/>
    </row>
    <row r="46" spans="1:5">
      <c r="A46" s="39" t="s">
        <v>99</v>
      </c>
      <c r="B46" s="37" t="s">
        <v>100</v>
      </c>
      <c r="C46" s="37" t="s">
        <v>61</v>
      </c>
      <c r="D46" s="7"/>
      <c r="E46" s="7"/>
    </row>
    <row r="47" spans="1:5">
      <c r="A47" s="39" t="s">
        <v>101</v>
      </c>
      <c r="B47" s="37" t="s">
        <v>102</v>
      </c>
      <c r="C47" s="37" t="s">
        <v>61</v>
      </c>
      <c r="D47" s="7"/>
      <c r="E47" s="7"/>
    </row>
    <row r="49" spans="1:5">
      <c r="D49" s="207"/>
      <c r="E49" s="207"/>
    </row>
    <row r="50" spans="1:5">
      <c r="B50" s="44" t="s">
        <v>41</v>
      </c>
      <c r="C50" s="44" t="s">
        <v>42</v>
      </c>
      <c r="D50" s="44" t="s">
        <v>103</v>
      </c>
      <c r="E50" s="44" t="s">
        <v>44</v>
      </c>
    </row>
    <row r="51" ht="8.25" customHeight="1" spans="1:5">
      <c r="B51" s="511" t="s">
        <v>104</v>
      </c>
      <c r="C51" s="511" t="s">
        <v>105</v>
      </c>
      <c r="D51" s="511" t="s">
        <v>106</v>
      </c>
      <c r="E51" s="511" t="s">
        <v>107</v>
      </c>
    </row>
    <row r="52" ht="8.25" customHeight="1" spans="1:5">
      <c r="B52" s="511" t="s">
        <v>108</v>
      </c>
      <c r="C52" s="511" t="s">
        <v>105</v>
      </c>
      <c r="D52" s="512"/>
      <c r="E52" s="511" t="s">
        <v>109</v>
      </c>
    </row>
    <row r="53" ht="8.25" customHeight="1" spans="1:5">
      <c r="B53" s="511" t="s">
        <v>110</v>
      </c>
      <c r="C53" s="511" t="s">
        <v>47</v>
      </c>
      <c r="D53" s="511" t="s">
        <v>111</v>
      </c>
      <c r="E53" s="511" t="s">
        <v>109</v>
      </c>
    </row>
    <row r="54" ht="8.25" customHeight="1" spans="1:5">
      <c r="A54" s="1"/>
      <c r="B54" s="511" t="s">
        <v>112</v>
      </c>
      <c r="C54" s="511" t="s">
        <v>47</v>
      </c>
      <c r="D54" s="511" t="s">
        <v>111</v>
      </c>
      <c r="E54" s="511" t="s">
        <v>109</v>
      </c>
    </row>
    <row r="55" ht="8.25" customHeight="1" spans="1:5">
      <c r="A55" s="1"/>
      <c r="B55" s="511" t="s">
        <v>113</v>
      </c>
      <c r="C55" s="511" t="s">
        <v>47</v>
      </c>
      <c r="D55" s="511" t="s">
        <v>111</v>
      </c>
      <c r="E55" s="511" t="s">
        <v>109</v>
      </c>
    </row>
    <row r="56" ht="8.25" customHeight="1" spans="1:5">
      <c r="A56" s="1"/>
      <c r="B56" s="511" t="s">
        <v>114</v>
      </c>
      <c r="C56" s="511" t="s">
        <v>47</v>
      </c>
      <c r="D56" s="511" t="s">
        <v>111</v>
      </c>
      <c r="E56" s="511" t="s">
        <v>109</v>
      </c>
    </row>
    <row r="57" ht="8.25" customHeight="1" spans="1:5">
      <c r="A57" s="1"/>
      <c r="B57" s="511" t="s">
        <v>115</v>
      </c>
      <c r="C57" s="511" t="s">
        <v>52</v>
      </c>
      <c r="D57" s="511" t="s">
        <v>116</v>
      </c>
      <c r="E57" s="511" t="s">
        <v>109</v>
      </c>
    </row>
    <row r="58" ht="8.25" customHeight="1" spans="1:5">
      <c r="A58" s="1"/>
      <c r="B58" s="511" t="s">
        <v>117</v>
      </c>
      <c r="C58" s="511" t="s">
        <v>52</v>
      </c>
      <c r="D58" s="511" t="s">
        <v>116</v>
      </c>
      <c r="E58" s="511" t="s">
        <v>109</v>
      </c>
    </row>
    <row r="59" ht="8.25" customHeight="1" spans="1:5">
      <c r="A59" s="1"/>
      <c r="B59" s="511" t="s">
        <v>118</v>
      </c>
      <c r="C59" s="511" t="s">
        <v>52</v>
      </c>
      <c r="D59" s="511" t="s">
        <v>116</v>
      </c>
      <c r="E59" s="511" t="s">
        <v>109</v>
      </c>
    </row>
    <row r="60" ht="8.25" customHeight="1" spans="1:5">
      <c r="A60" s="1"/>
      <c r="B60" s="511" t="s">
        <v>119</v>
      </c>
      <c r="C60" s="511" t="s">
        <v>52</v>
      </c>
      <c r="D60" s="511" t="s">
        <v>116</v>
      </c>
      <c r="E60" s="511" t="s">
        <v>109</v>
      </c>
    </row>
    <row r="61" ht="8.25" customHeight="1" spans="1:5">
      <c r="A61" s="1"/>
      <c r="B61" s="511" t="s">
        <v>120</v>
      </c>
      <c r="C61" s="511" t="s">
        <v>61</v>
      </c>
      <c r="D61" s="511" t="s">
        <v>121</v>
      </c>
      <c r="E61" s="511" t="s">
        <v>109</v>
      </c>
    </row>
    <row r="62" ht="8.25" customHeight="1" spans="1:5">
      <c r="A62" s="1"/>
      <c r="B62" s="511" t="s">
        <v>122</v>
      </c>
      <c r="C62" s="511" t="s">
        <v>61</v>
      </c>
      <c r="D62" s="511" t="s">
        <v>121</v>
      </c>
      <c r="E62" s="511" t="s">
        <v>109</v>
      </c>
    </row>
    <row r="63" ht="8.25" customHeight="1" spans="1:5">
      <c r="B63" s="511" t="s">
        <v>123</v>
      </c>
      <c r="C63" s="511" t="s">
        <v>61</v>
      </c>
      <c r="D63" s="511" t="s">
        <v>121</v>
      </c>
      <c r="E63" s="511" t="s">
        <v>109</v>
      </c>
    </row>
    <row r="64" ht="8.25" customHeight="1" spans="1:5">
      <c r="B64" s="511" t="s">
        <v>124</v>
      </c>
      <c r="C64" s="511" t="s">
        <v>61</v>
      </c>
      <c r="D64" s="511" t="s">
        <v>121</v>
      </c>
      <c r="E64" s="511" t="s">
        <v>109</v>
      </c>
    </row>
    <row r="65" ht="8.25" customHeight="1" spans="2:5">
      <c r="B65" s="511" t="s">
        <v>125</v>
      </c>
      <c r="C65" s="511" t="s">
        <v>61</v>
      </c>
      <c r="D65" s="511" t="s">
        <v>121</v>
      </c>
      <c r="E65" s="511" t="s">
        <v>109</v>
      </c>
    </row>
    <row r="66" ht="8.25" customHeight="1" spans="2:5">
      <c r="B66" s="511" t="s">
        <v>126</v>
      </c>
      <c r="C66" s="511" t="s">
        <v>61</v>
      </c>
      <c r="D66" s="511" t="s">
        <v>121</v>
      </c>
      <c r="E66" s="511" t="s">
        <v>109</v>
      </c>
    </row>
    <row r="67" ht="8.25" customHeight="1" spans="2:5">
      <c r="B67" s="511" t="s">
        <v>127</v>
      </c>
      <c r="C67" s="511" t="s">
        <v>61</v>
      </c>
      <c r="D67" s="511" t="s">
        <v>121</v>
      </c>
      <c r="E67" s="511" t="s">
        <v>109</v>
      </c>
    </row>
    <row r="68" ht="8.25" customHeight="1" spans="2:5">
      <c r="B68" s="511" t="s">
        <v>128</v>
      </c>
      <c r="C68" s="511" t="s">
        <v>61</v>
      </c>
      <c r="D68" s="511" t="s">
        <v>121</v>
      </c>
      <c r="E68" s="511" t="s">
        <v>109</v>
      </c>
    </row>
    <row r="69" ht="8.25" customHeight="1" spans="2:5">
      <c r="B69" s="511" t="s">
        <v>129</v>
      </c>
      <c r="C69" s="511" t="s">
        <v>61</v>
      </c>
      <c r="D69" s="511" t="s">
        <v>121</v>
      </c>
      <c r="E69" s="511" t="s">
        <v>109</v>
      </c>
    </row>
    <row r="70" ht="8.25" customHeight="1" spans="2:5">
      <c r="B70" s="511" t="s">
        <v>130</v>
      </c>
      <c r="C70" s="511" t="s">
        <v>61</v>
      </c>
      <c r="D70" s="511" t="s">
        <v>121</v>
      </c>
      <c r="E70" s="511" t="s">
        <v>109</v>
      </c>
    </row>
    <row r="71" ht="8.25" customHeight="1" spans="2:5">
      <c r="B71" s="511" t="s">
        <v>131</v>
      </c>
      <c r="C71" s="511" t="s">
        <v>61</v>
      </c>
      <c r="D71" s="511" t="s">
        <v>121</v>
      </c>
      <c r="E71" s="511" t="s">
        <v>109</v>
      </c>
    </row>
    <row r="72" ht="8.25" customHeight="1" spans="2:5">
      <c r="B72" s="511" t="s">
        <v>132</v>
      </c>
      <c r="C72" s="511" t="s">
        <v>61</v>
      </c>
      <c r="D72" s="511" t="s">
        <v>121</v>
      </c>
      <c r="E72" s="511" t="s">
        <v>109</v>
      </c>
    </row>
    <row r="73" ht="8.25" customHeight="1" spans="2:5">
      <c r="B73" s="511" t="s">
        <v>133</v>
      </c>
      <c r="C73" s="511" t="s">
        <v>61</v>
      </c>
      <c r="D73" s="511" t="s">
        <v>121</v>
      </c>
      <c r="E73" s="511" t="s">
        <v>109</v>
      </c>
    </row>
    <row r="74" ht="8.25" customHeight="1" spans="2:5">
      <c r="B74" s="511" t="s">
        <v>134</v>
      </c>
      <c r="C74" s="511" t="s">
        <v>61</v>
      </c>
      <c r="D74" s="511" t="s">
        <v>121</v>
      </c>
      <c r="E74" s="511" t="s">
        <v>109</v>
      </c>
    </row>
    <row r="75" ht="8.25" customHeight="1" spans="2:5">
      <c r="B75" s="511" t="s">
        <v>135</v>
      </c>
      <c r="C75" s="511" t="s">
        <v>61</v>
      </c>
      <c r="D75" s="511" t="s">
        <v>121</v>
      </c>
      <c r="E75" s="511" t="s">
        <v>109</v>
      </c>
    </row>
    <row r="76" ht="8.25" customHeight="1" spans="2:5">
      <c r="B76" s="511" t="s">
        <v>136</v>
      </c>
      <c r="C76" s="511" t="s">
        <v>61</v>
      </c>
      <c r="D76" s="511" t="s">
        <v>121</v>
      </c>
      <c r="E76" s="511" t="s">
        <v>109</v>
      </c>
    </row>
    <row r="77" ht="8.25" customHeight="1"/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ErrorMessage="1" errorTitle="错误提示" error="请输入下拉列表中的值" id="{8de529af-3e70-4265-99f8-554e67881665}" sqref="A4:A13">
      <formula1>"未开始,进行中,已完成"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8CBAD"/>
  </sheetPr>
  <dimension ref="A1:V181"/>
  <sheetViews>
    <sheetView topLeftCell="E111" workbookViewId="0">
      <selection activeCell="E111" sqref="E111"/>
    </sheetView>
  </sheetViews>
  <sheetFormatPr defaultColWidth="9" defaultRowHeight="13.5"/>
  <cols>
    <col min="1" max="1" width="7.25" customWidth="1"/>
    <col min="2" max="2" width="20.25" customWidth="1"/>
    <col min="3" max="3" width="21.625" customWidth="1"/>
    <col min="4" max="4" width="16.625" customWidth="1"/>
    <col min="5" max="5" width="22.5" customWidth="1"/>
    <col min="6" max="6" width="31.625" customWidth="1"/>
    <col min="7" max="7" width="27.5" customWidth="1"/>
    <col min="8" max="8" width="29" customWidth="1"/>
    <col min="9" max="9" width="15" customWidth="1"/>
    <col min="10" max="10" width="19.375" customWidth="1"/>
    <col min="11" max="11" width="17.75" customWidth="1"/>
    <col min="12" max="12" width="12.125" customWidth="1"/>
    <col min="14" max="14" width="13.75" customWidth="1"/>
    <col min="15" max="15" width="8.625" customWidth="1"/>
    <col min="17" max="17" width="5.125" customWidth="1"/>
    <col min="19" max="19" width="10.375" customWidth="1"/>
    <col min="20" max="20" width="13.375" customWidth="1"/>
    <col min="21" max="21" width="13.5"/>
    <col min="23" max="23" width="18.625" customWidth="1"/>
    <col min="25" max="25" width="12.5"/>
  </cols>
  <sheetData>
    <row r="1" ht="36.75" spans="2:19">
      <c r="F1" s="306" t="s">
        <v>137</v>
      </c>
    </row>
    <row r="2" spans="2:19">
      <c r="B2" s="307" t="s">
        <v>137</v>
      </c>
      <c r="C2" s="25"/>
      <c r="D2" s="25"/>
      <c r="E2" s="26"/>
    </row>
    <row r="3" ht="58.5" customHeight="1" spans="2:19">
      <c r="B3" s="27"/>
      <c r="C3" s="207"/>
      <c r="D3" s="207"/>
      <c r="E3" s="28"/>
    </row>
    <row r="4" ht="120.75" customHeight="1" spans="2:19">
      <c r="B4" s="27"/>
      <c r="E4" s="28"/>
    </row>
    <row r="5" ht="96" customHeight="1" spans="2:19">
      <c r="B5" s="29"/>
      <c r="C5" s="30"/>
      <c r="D5" s="30"/>
      <c r="E5" s="31"/>
    </row>
    <row r="7" s="43" customFormat="1"/>
    <row r="9" ht="36" spans="2:19">
      <c r="F9" s="306" t="s">
        <v>12</v>
      </c>
    </row>
    <row r="10" ht="14.25"/>
    <row r="11" ht="14.25" spans="2:19">
      <c r="B11" s="308" t="s">
        <v>138</v>
      </c>
      <c r="C11" s="309"/>
      <c r="D11" s="309"/>
      <c r="E11" s="310"/>
      <c r="G11" s="311" t="s">
        <v>139</v>
      </c>
      <c r="H11" s="311" t="s">
        <v>140</v>
      </c>
      <c r="I11" s="312"/>
      <c r="J11" s="311" t="s">
        <v>141</v>
      </c>
      <c r="K11" s="313" t="s">
        <v>142</v>
      </c>
      <c r="M11" s="1" t="s">
        <v>143</v>
      </c>
      <c r="N11" s="1" t="s">
        <v>144</v>
      </c>
      <c r="O11" t="s">
        <v>145</v>
      </c>
      <c r="P11" t="s">
        <v>146</v>
      </c>
      <c r="S11" s="156" t="s">
        <v>147</v>
      </c>
    </row>
    <row r="12" spans="2:19">
      <c r="B12" s="314" t="s">
        <v>148</v>
      </c>
      <c r="C12" s="315"/>
      <c r="D12" s="315"/>
      <c r="E12" s="316"/>
      <c r="F12" s="207"/>
      <c r="G12" s="317" t="s">
        <v>149</v>
      </c>
      <c r="H12" s="318" t="s">
        <v>55</v>
      </c>
      <c r="I12" s="317" t="s">
        <v>150</v>
      </c>
      <c r="J12" s="319" t="str">
        <f>"人公将军·"&amp;I12</f>
        <v>人公将军·头盔</v>
      </c>
      <c r="K12" s="320" t="s">
        <v>151</v>
      </c>
      <c r="M12" t="s">
        <v>152</v>
      </c>
      <c r="N12" t="s">
        <v>153</v>
      </c>
      <c r="O12" t="s">
        <v>154</v>
      </c>
      <c r="P12" t="s">
        <v>155</v>
      </c>
      <c r="S12" s="156" t="s">
        <v>156</v>
      </c>
    </row>
    <row r="13" spans="2:19">
      <c r="B13" s="321" t="s">
        <v>157</v>
      </c>
      <c r="C13" s="322"/>
      <c r="D13" s="322"/>
      <c r="E13" s="323"/>
      <c r="F13" s="207"/>
      <c r="G13" s="317"/>
      <c r="H13" s="318"/>
      <c r="I13" s="324" t="s">
        <v>158</v>
      </c>
      <c r="J13" s="325" t="str">
        <f>"人公将军·"&amp;I13</f>
        <v>人公将军·衣服</v>
      </c>
      <c r="K13" s="320"/>
      <c r="M13" t="s">
        <v>159</v>
      </c>
      <c r="N13" t="s">
        <v>160</v>
      </c>
      <c r="O13" t="s">
        <v>161</v>
      </c>
      <c r="P13" t="s">
        <v>162</v>
      </c>
      <c r="S13" s="156" t="s">
        <v>163</v>
      </c>
    </row>
    <row r="14" spans="2:19">
      <c r="B14" s="321" t="s">
        <v>164</v>
      </c>
      <c r="C14" s="322"/>
      <c r="D14" s="322"/>
      <c r="E14" s="323"/>
      <c r="F14" s="207"/>
      <c r="G14" s="317"/>
      <c r="H14" s="318"/>
      <c r="I14" s="317" t="s">
        <v>165</v>
      </c>
      <c r="J14" s="319" t="str">
        <f>"人公将军·"&amp;I14</f>
        <v>人公将军·腰带</v>
      </c>
      <c r="K14" s="320"/>
      <c r="M14" t="s">
        <v>166</v>
      </c>
      <c r="N14" t="s">
        <v>167</v>
      </c>
      <c r="O14" t="s">
        <v>168</v>
      </c>
      <c r="P14" t="s">
        <v>169</v>
      </c>
      <c r="S14" s="156" t="s">
        <v>170</v>
      </c>
    </row>
    <row r="15" spans="2:19">
      <c r="B15" s="321" t="s">
        <v>171</v>
      </c>
      <c r="C15" s="322"/>
      <c r="D15" s="322"/>
      <c r="E15" s="323"/>
      <c r="F15" s="207"/>
      <c r="G15" s="317"/>
      <c r="H15" s="318"/>
      <c r="I15" s="324" t="s">
        <v>172</v>
      </c>
      <c r="J15" s="325" t="str">
        <f>"人公将军·"&amp;I15</f>
        <v>人公将军·鞋子</v>
      </c>
      <c r="K15" s="320"/>
    </row>
    <row r="16" spans="2:19">
      <c r="B16" s="321" t="s">
        <v>173</v>
      </c>
      <c r="C16" s="322"/>
      <c r="D16" s="322"/>
      <c r="E16" s="323"/>
      <c r="F16" s="207"/>
      <c r="G16" s="317"/>
      <c r="H16" s="318"/>
      <c r="I16" s="317" t="s">
        <v>174</v>
      </c>
      <c r="J16" s="319" t="str">
        <f>"人公将军·"&amp;I16</f>
        <v>人公将军·裤子</v>
      </c>
      <c r="K16" s="320"/>
    </row>
    <row r="17" spans="2:22">
      <c r="B17" s="321"/>
      <c r="C17" s="322"/>
      <c r="D17" s="322"/>
      <c r="E17" s="323"/>
      <c r="F17" s="207"/>
      <c r="G17" s="324" t="s">
        <v>175</v>
      </c>
      <c r="H17" s="326" t="s">
        <v>57</v>
      </c>
      <c r="I17" s="324" t="s">
        <v>176</v>
      </c>
      <c r="J17" s="325" t="str">
        <f>"地公将军·"&amp;I17</f>
        <v>地公将军·项链</v>
      </c>
      <c r="K17" s="320"/>
      <c r="L17" s="327" t="s">
        <v>177</v>
      </c>
      <c r="M17" s="40"/>
      <c r="N17" s="40"/>
      <c r="O17" s="40"/>
      <c r="P17" s="40"/>
      <c r="Q17" s="40"/>
      <c r="R17" s="40"/>
      <c r="S17" s="40"/>
      <c r="T17" s="40"/>
      <c r="U17" s="40"/>
    </row>
    <row r="18" spans="2:22">
      <c r="B18" s="328" t="s">
        <v>178</v>
      </c>
      <c r="C18" s="322"/>
      <c r="D18" s="322"/>
      <c r="E18" s="323"/>
      <c r="F18" s="207"/>
      <c r="G18" s="324"/>
      <c r="H18" s="326"/>
      <c r="I18" s="317" t="s">
        <v>179</v>
      </c>
      <c r="J18" s="319" t="str">
        <f>"地公将军·"&amp;I18</f>
        <v>地公将军·手镯</v>
      </c>
      <c r="K18" s="320"/>
      <c r="L18" s="327" t="s">
        <v>180</v>
      </c>
      <c r="M18" s="39" t="s">
        <v>181</v>
      </c>
      <c r="N18" s="39" t="s">
        <v>182</v>
      </c>
      <c r="O18" s="39" t="s">
        <v>183</v>
      </c>
      <c r="P18" s="39" t="s">
        <v>184</v>
      </c>
      <c r="Q18" s="39" t="s">
        <v>185</v>
      </c>
      <c r="R18" s="39" t="s">
        <v>186</v>
      </c>
      <c r="S18" s="329" t="s">
        <v>187</v>
      </c>
      <c r="T18" s="39" t="s">
        <v>188</v>
      </c>
      <c r="U18" s="39" t="s">
        <v>189</v>
      </c>
      <c r="V18" s="330">
        <v>90000</v>
      </c>
    </row>
    <row r="19" spans="2:22">
      <c r="B19" s="328" t="s">
        <v>190</v>
      </c>
      <c r="C19" s="322"/>
      <c r="D19" s="322"/>
      <c r="E19" s="323"/>
      <c r="F19" s="207"/>
      <c r="G19" s="324"/>
      <c r="H19" s="326"/>
      <c r="I19" s="324" t="s">
        <v>191</v>
      </c>
      <c r="J19" s="325" t="str">
        <f>"地公将军·"&amp;I19</f>
        <v>地公将军·戒指</v>
      </c>
      <c r="K19" s="320"/>
      <c r="L19" s="331">
        <v>4</v>
      </c>
      <c r="M19" s="40">
        <v>5</v>
      </c>
      <c r="N19" s="40">
        <v>180</v>
      </c>
      <c r="O19" s="41">
        <v>0.01</v>
      </c>
      <c r="P19" s="40">
        <v>9</v>
      </c>
      <c r="Q19" s="40">
        <v>16</v>
      </c>
      <c r="R19" s="40">
        <f t="shared" ref="R19:R26" si="0">N19/(L19*M19)*Q19</f>
        <v>144</v>
      </c>
      <c r="S19" s="40">
        <f>P19*16/O19</f>
        <v>14400</v>
      </c>
      <c r="T19" s="332">
        <f t="shared" ref="T19:T26" si="1">S19/R19</f>
        <v>100</v>
      </c>
      <c r="U19" s="333">
        <f t="shared" ref="U19:U26" si="2">S19*V$18</f>
        <v>1296000000</v>
      </c>
    </row>
    <row r="20" spans="2:22">
      <c r="B20" s="334" t="s">
        <v>192</v>
      </c>
      <c r="C20" s="322"/>
      <c r="D20" s="322"/>
      <c r="E20" s="323"/>
      <c r="F20" s="207"/>
      <c r="G20" s="317" t="s">
        <v>193</v>
      </c>
      <c r="H20" s="318" t="s">
        <v>58</v>
      </c>
      <c r="I20" s="317" t="s">
        <v>194</v>
      </c>
      <c r="J20" s="319" t="str">
        <f>"天公将军·"&amp;I20</f>
        <v>天公将军·水晶剑</v>
      </c>
      <c r="K20" s="320" t="s">
        <v>195</v>
      </c>
      <c r="L20" s="331">
        <v>4</v>
      </c>
      <c r="M20" s="40">
        <v>5</v>
      </c>
      <c r="N20" s="40">
        <v>180</v>
      </c>
      <c r="O20" s="41">
        <v>0.05</v>
      </c>
      <c r="P20" s="40">
        <v>9</v>
      </c>
      <c r="Q20" s="40">
        <v>16</v>
      </c>
      <c r="R20" s="40">
        <f t="shared" si="0"/>
        <v>144</v>
      </c>
      <c r="S20" s="40">
        <f t="shared" ref="S20:S26" si="3">P20*16/O20</f>
        <v>2880</v>
      </c>
      <c r="T20" s="332">
        <f t="shared" si="1"/>
        <v>20</v>
      </c>
      <c r="U20" s="333">
        <f t="shared" si="2"/>
        <v>259200000</v>
      </c>
    </row>
    <row r="21" spans="2:22">
      <c r="B21" s="321"/>
      <c r="C21" s="322"/>
      <c r="D21" s="322"/>
      <c r="E21" s="323"/>
      <c r="F21" s="207"/>
      <c r="G21" s="317"/>
      <c r="H21" s="318"/>
      <c r="I21" s="324" t="s">
        <v>196</v>
      </c>
      <c r="J21" s="325" t="str">
        <f t="shared" ref="J21:J35" si="4">"天公将军·"&amp;I21</f>
        <v>天公将军·长剑</v>
      </c>
      <c r="K21" s="320"/>
      <c r="L21" s="331">
        <v>4</v>
      </c>
      <c r="M21" s="40">
        <v>5</v>
      </c>
      <c r="N21" s="40">
        <v>180</v>
      </c>
      <c r="O21" s="41">
        <v>0.1</v>
      </c>
      <c r="P21" s="40">
        <v>9</v>
      </c>
      <c r="Q21" s="40">
        <v>16</v>
      </c>
      <c r="R21" s="40">
        <f t="shared" si="0"/>
        <v>144</v>
      </c>
      <c r="S21" s="40">
        <f t="shared" si="3"/>
        <v>1440</v>
      </c>
      <c r="T21" s="332">
        <f t="shared" si="1"/>
        <v>10</v>
      </c>
      <c r="U21" s="333">
        <f t="shared" si="2"/>
        <v>129600000</v>
      </c>
    </row>
    <row r="22" spans="2:22">
      <c r="B22" s="321"/>
      <c r="C22" s="322"/>
      <c r="D22" s="322"/>
      <c r="E22" s="323"/>
      <c r="F22" s="207"/>
      <c r="G22" s="317"/>
      <c r="H22" s="318"/>
      <c r="I22" s="317" t="s">
        <v>197</v>
      </c>
      <c r="J22" s="319" t="str">
        <f t="shared" si="4"/>
        <v>天公将军·刀</v>
      </c>
      <c r="K22" s="320"/>
      <c r="L22" s="331">
        <v>4</v>
      </c>
      <c r="M22" s="40">
        <v>5</v>
      </c>
      <c r="N22" s="40">
        <v>180</v>
      </c>
      <c r="O22" s="41">
        <v>0.15</v>
      </c>
      <c r="P22" s="40">
        <v>9</v>
      </c>
      <c r="Q22" s="40">
        <v>16</v>
      </c>
      <c r="R22" s="40">
        <f t="shared" si="0"/>
        <v>144</v>
      </c>
      <c r="S22" s="40">
        <f t="shared" si="3"/>
        <v>960</v>
      </c>
      <c r="T22" s="332">
        <f t="shared" si="1"/>
        <v>6.66666666666667</v>
      </c>
      <c r="U22" s="333">
        <f t="shared" si="2"/>
        <v>86400000</v>
      </c>
    </row>
    <row r="23" spans="2:22">
      <c r="B23" s="321" t="s">
        <v>198</v>
      </c>
      <c r="C23" s="335" t="s">
        <v>199</v>
      </c>
      <c r="D23" s="322"/>
      <c r="E23" s="323"/>
      <c r="F23" s="207"/>
      <c r="G23" s="317"/>
      <c r="H23" s="318"/>
      <c r="I23" s="324" t="s">
        <v>200</v>
      </c>
      <c r="J23" s="325" t="str">
        <f t="shared" si="4"/>
        <v>天公将军·大剑</v>
      </c>
      <c r="K23" s="320"/>
      <c r="L23" s="331">
        <v>4</v>
      </c>
      <c r="M23" s="40">
        <v>5</v>
      </c>
      <c r="N23" s="40">
        <v>180</v>
      </c>
      <c r="O23" s="41">
        <v>0.2</v>
      </c>
      <c r="P23" s="40">
        <v>9</v>
      </c>
      <c r="Q23" s="40">
        <v>16</v>
      </c>
      <c r="R23" s="40">
        <f t="shared" si="0"/>
        <v>144</v>
      </c>
      <c r="S23" s="40">
        <f t="shared" si="3"/>
        <v>720</v>
      </c>
      <c r="T23" s="332">
        <f t="shared" si="1"/>
        <v>5</v>
      </c>
      <c r="U23" s="333">
        <f t="shared" si="2"/>
        <v>64800000</v>
      </c>
    </row>
    <row r="24" spans="2:22">
      <c r="B24" s="321"/>
      <c r="C24" s="322"/>
      <c r="D24" s="322"/>
      <c r="E24" s="323"/>
      <c r="F24" s="207"/>
      <c r="G24" s="317"/>
      <c r="H24" s="318"/>
      <c r="I24" s="317" t="s">
        <v>152</v>
      </c>
      <c r="J24" s="319" t="str">
        <f t="shared" si="4"/>
        <v>天公将军·拳套</v>
      </c>
      <c r="K24" s="320"/>
      <c r="L24" s="331">
        <v>4</v>
      </c>
      <c r="M24" s="40">
        <v>5</v>
      </c>
      <c r="N24" s="40">
        <v>180</v>
      </c>
      <c r="O24" s="41">
        <v>0.3</v>
      </c>
      <c r="P24" s="40">
        <v>9</v>
      </c>
      <c r="Q24" s="40">
        <v>16</v>
      </c>
      <c r="R24" s="40">
        <f t="shared" si="0"/>
        <v>144</v>
      </c>
      <c r="S24" s="40">
        <f t="shared" si="3"/>
        <v>480</v>
      </c>
      <c r="T24" s="332">
        <f t="shared" si="1"/>
        <v>3.33333333333333</v>
      </c>
      <c r="U24" s="333">
        <f t="shared" si="2"/>
        <v>43200000</v>
      </c>
    </row>
    <row r="25" spans="2:22">
      <c r="B25" s="321"/>
      <c r="C25" s="322"/>
      <c r="D25" s="322"/>
      <c r="E25" s="323"/>
      <c r="F25" s="207"/>
      <c r="G25" s="317"/>
      <c r="H25" s="318"/>
      <c r="I25" s="324" t="s">
        <v>153</v>
      </c>
      <c r="J25" s="325" t="str">
        <f t="shared" si="4"/>
        <v>天公将军·指环</v>
      </c>
      <c r="K25" s="320"/>
      <c r="L25" s="331">
        <v>4</v>
      </c>
      <c r="M25" s="40">
        <v>5</v>
      </c>
      <c r="N25" s="40">
        <v>180</v>
      </c>
      <c r="O25" s="41">
        <v>0.4</v>
      </c>
      <c r="P25" s="40">
        <v>9</v>
      </c>
      <c r="Q25" s="40">
        <v>16</v>
      </c>
      <c r="R25" s="40">
        <f t="shared" si="0"/>
        <v>144</v>
      </c>
      <c r="S25" s="40">
        <f t="shared" si="3"/>
        <v>360</v>
      </c>
      <c r="T25" s="332">
        <f t="shared" si="1"/>
        <v>2.5</v>
      </c>
      <c r="U25" s="333">
        <f t="shared" si="2"/>
        <v>32400000</v>
      </c>
    </row>
    <row r="26" spans="2:22">
      <c r="B26" s="321"/>
      <c r="C26" s="322"/>
      <c r="D26" s="322"/>
      <c r="E26" s="323"/>
      <c r="F26" s="207"/>
      <c r="G26" s="317"/>
      <c r="H26" s="318"/>
      <c r="I26" s="317" t="s">
        <v>201</v>
      </c>
      <c r="J26" s="319" t="str">
        <f t="shared" si="4"/>
        <v>天公将军·爪</v>
      </c>
      <c r="K26" s="320"/>
      <c r="L26" s="331">
        <v>4</v>
      </c>
      <c r="M26" s="40">
        <v>5</v>
      </c>
      <c r="N26" s="40">
        <v>180</v>
      </c>
      <c r="O26" s="41">
        <v>0.5</v>
      </c>
      <c r="P26" s="40">
        <v>9</v>
      </c>
      <c r="Q26" s="40">
        <v>16</v>
      </c>
      <c r="R26" s="40">
        <f t="shared" si="0"/>
        <v>144</v>
      </c>
      <c r="S26" s="40">
        <f t="shared" si="3"/>
        <v>288</v>
      </c>
      <c r="T26" s="332">
        <f t="shared" si="1"/>
        <v>2</v>
      </c>
      <c r="U26" s="333">
        <f t="shared" si="2"/>
        <v>25920000</v>
      </c>
    </row>
    <row r="27" ht="14.25" spans="2:22">
      <c r="B27" s="336" t="s">
        <v>202</v>
      </c>
      <c r="C27" s="337"/>
      <c r="D27" s="337"/>
      <c r="E27" s="338"/>
      <c r="F27" s="207"/>
      <c r="G27" s="317"/>
      <c r="H27" s="318"/>
      <c r="I27" s="324" t="s">
        <v>203</v>
      </c>
      <c r="J27" s="325" t="str">
        <f t="shared" si="4"/>
        <v>天公将军·巨拳</v>
      </c>
      <c r="K27" s="320"/>
      <c r="L27" s="331"/>
      <c r="M27" s="40"/>
      <c r="N27" s="40"/>
      <c r="O27" s="41"/>
      <c r="P27" s="40"/>
      <c r="Q27" s="40"/>
      <c r="R27" s="40"/>
      <c r="S27" s="40"/>
      <c r="T27" s="332"/>
      <c r="U27" s="333"/>
    </row>
    <row r="28" spans="2:22">
      <c r="G28" s="317"/>
      <c r="H28" s="318"/>
      <c r="I28" s="317" t="s">
        <v>159</v>
      </c>
      <c r="J28" s="319" t="str">
        <f t="shared" si="4"/>
        <v>天公将军·飞针</v>
      </c>
      <c r="K28" s="320"/>
    </row>
    <row r="29" spans="2:22">
      <c r="G29" s="317"/>
      <c r="H29" s="318"/>
      <c r="I29" s="324" t="s">
        <v>204</v>
      </c>
      <c r="J29" s="325" t="str">
        <f t="shared" si="4"/>
        <v>天公将军·翎</v>
      </c>
      <c r="K29" s="320"/>
    </row>
    <row r="30" spans="2:22">
      <c r="G30" s="317"/>
      <c r="H30" s="318"/>
      <c r="I30" s="317" t="s">
        <v>162</v>
      </c>
      <c r="J30" s="319" t="str">
        <f t="shared" si="4"/>
        <v>天公将军·玫瑰</v>
      </c>
      <c r="K30" s="320"/>
    </row>
    <row r="31" spans="2:22">
      <c r="G31" s="317"/>
      <c r="H31" s="318"/>
      <c r="I31" s="324" t="s">
        <v>161</v>
      </c>
      <c r="J31" s="325" t="str">
        <f t="shared" si="4"/>
        <v>天公将军·火器</v>
      </c>
      <c r="K31" s="320"/>
    </row>
    <row r="32" spans="2:22">
      <c r="G32" s="317"/>
      <c r="H32" s="318"/>
      <c r="I32" s="317" t="s">
        <v>168</v>
      </c>
      <c r="J32" s="319" t="str">
        <f t="shared" si="4"/>
        <v>天公将军·手杖</v>
      </c>
      <c r="K32" s="320"/>
      <c r="R32" s="1"/>
    </row>
    <row r="33" spans="2:11">
      <c r="G33" s="317"/>
      <c r="H33" s="318"/>
      <c r="I33" s="324" t="s">
        <v>167</v>
      </c>
      <c r="J33" s="325" t="str">
        <f t="shared" si="4"/>
        <v>天公将军·长柄</v>
      </c>
      <c r="K33" s="320"/>
    </row>
    <row r="34" spans="2:11">
      <c r="G34" s="317"/>
      <c r="H34" s="318"/>
      <c r="I34" s="317" t="s">
        <v>166</v>
      </c>
      <c r="J34" s="319" t="str">
        <f t="shared" si="4"/>
        <v>天公将军·法杖</v>
      </c>
      <c r="K34" s="320"/>
    </row>
    <row r="35" spans="2:11">
      <c r="G35" s="317"/>
      <c r="H35" s="318"/>
      <c r="I35" s="324" t="s">
        <v>169</v>
      </c>
      <c r="J35" s="325" t="str">
        <f t="shared" si="4"/>
        <v>天公将军·镰刀</v>
      </c>
      <c r="K35" s="320"/>
    </row>
    <row r="36" spans="2:11">
      <c r="H36" s="1"/>
    </row>
    <row r="40" s="43" customFormat="1"/>
    <row r="42" ht="36.75" spans="2:11">
      <c r="F42" s="306" t="s">
        <v>205</v>
      </c>
    </row>
    <row r="43" spans="2:11">
      <c r="B43" s="307" t="s">
        <v>206</v>
      </c>
      <c r="C43" s="25"/>
      <c r="D43" s="25"/>
      <c r="E43" s="26"/>
      <c r="F43" s="339"/>
    </row>
    <row r="44" spans="2:11">
      <c r="B44" s="340" t="s">
        <v>207</v>
      </c>
      <c r="C44" s="341" t="s">
        <v>208</v>
      </c>
      <c r="D44" s="341" t="s">
        <v>209</v>
      </c>
      <c r="E44" s="342" t="s">
        <v>210</v>
      </c>
      <c r="F44" s="207"/>
    </row>
    <row r="45" ht="14.25" spans="2:11">
      <c r="B45" s="340" t="s">
        <v>211</v>
      </c>
      <c r="C45" s="341" t="s">
        <v>208</v>
      </c>
      <c r="D45" s="341" t="s">
        <v>209</v>
      </c>
      <c r="E45" s="342" t="s">
        <v>212</v>
      </c>
      <c r="F45" s="207"/>
    </row>
    <row r="46" spans="2:11">
      <c r="B46" s="307" t="s">
        <v>205</v>
      </c>
      <c r="C46" s="25"/>
      <c r="D46" s="25"/>
      <c r="E46" s="26"/>
      <c r="F46" s="207"/>
    </row>
    <row r="47" spans="2:11">
      <c r="B47" s="343" t="s">
        <v>213</v>
      </c>
      <c r="C47" s="344"/>
      <c r="D47" s="345"/>
      <c r="E47" s="346"/>
      <c r="F47" s="207"/>
    </row>
    <row r="48" spans="2:11">
      <c r="B48" s="343" t="s">
        <v>214</v>
      </c>
      <c r="C48" s="345"/>
      <c r="D48" s="345"/>
      <c r="E48" s="346"/>
      <c r="F48" s="207"/>
    </row>
    <row r="49" spans="2:12">
      <c r="B49" s="347" t="s">
        <v>215</v>
      </c>
      <c r="C49" s="345"/>
      <c r="D49" s="345"/>
      <c r="E49" s="346"/>
      <c r="F49" s="207"/>
    </row>
    <row r="50" spans="2:12">
      <c r="B50" s="347" t="s">
        <v>216</v>
      </c>
      <c r="C50" s="345"/>
      <c r="D50" s="345"/>
      <c r="E50" s="346"/>
      <c r="F50" s="207"/>
    </row>
    <row r="51" ht="14.25" spans="2:12">
      <c r="B51" s="348" t="s">
        <v>217</v>
      </c>
      <c r="C51" s="349"/>
      <c r="D51" s="349"/>
      <c r="E51" s="350"/>
      <c r="F51" s="207"/>
    </row>
    <row r="52" spans="2:12">
      <c r="B52" s="351" t="s">
        <v>218</v>
      </c>
      <c r="C52" s="207"/>
      <c r="D52" s="207"/>
      <c r="E52" s="28"/>
      <c r="F52" s="207"/>
    </row>
    <row r="53" spans="2:12">
      <c r="B53" s="352" t="s">
        <v>219</v>
      </c>
      <c r="C53" s="353"/>
      <c r="D53" s="354"/>
      <c r="E53" s="355"/>
      <c r="F53" s="207"/>
    </row>
    <row r="54" spans="2:12">
      <c r="B54" s="352" t="s">
        <v>220</v>
      </c>
      <c r="C54" s="353"/>
      <c r="D54" s="354"/>
      <c r="E54" s="355"/>
      <c r="F54" s="207"/>
    </row>
    <row r="55" spans="2:12">
      <c r="B55" s="356" t="s">
        <v>221</v>
      </c>
      <c r="C55" s="200"/>
      <c r="D55" s="357"/>
      <c r="E55" s="201"/>
      <c r="F55" s="207"/>
    </row>
    <row r="56" spans="2:12">
      <c r="B56" s="358" t="s">
        <v>222</v>
      </c>
      <c r="C56" s="359"/>
      <c r="D56" s="360"/>
      <c r="E56" s="361"/>
      <c r="F56" s="207"/>
    </row>
    <row r="57" spans="2:12">
      <c r="B57" s="358" t="s">
        <v>223</v>
      </c>
      <c r="C57" s="359"/>
      <c r="D57" s="360"/>
      <c r="E57" s="361"/>
      <c r="F57" s="207"/>
    </row>
    <row r="58" ht="14.25" spans="2:12">
      <c r="B58" s="362" t="s">
        <v>224</v>
      </c>
      <c r="C58" s="363"/>
      <c r="D58" s="363"/>
      <c r="E58" s="364"/>
      <c r="F58" s="207"/>
    </row>
    <row r="60" ht="14.25" spans="2:12">
      <c r="L60" s="365"/>
    </row>
    <row r="61" ht="27.75" customHeight="1" spans="2:12">
      <c r="B61" s="76" t="s">
        <v>208</v>
      </c>
      <c r="C61" s="366" t="s">
        <v>225</v>
      </c>
      <c r="D61" s="76" t="s">
        <v>226</v>
      </c>
      <c r="E61" s="367" t="s">
        <v>227</v>
      </c>
      <c r="H61" s="368" t="s">
        <v>228</v>
      </c>
      <c r="I61" s="369"/>
    </row>
    <row r="62" spans="2:12">
      <c r="B62" s="370" t="s">
        <v>151</v>
      </c>
      <c r="C62" s="371">
        <v>0.25</v>
      </c>
      <c r="D62" s="372" t="s">
        <v>229</v>
      </c>
      <c r="E62" s="373" t="s">
        <v>230</v>
      </c>
      <c r="H62" s="517" t="s">
        <v>231</v>
      </c>
      <c r="I62" s="375"/>
    </row>
    <row r="63" spans="2:12">
      <c r="B63" s="376" t="s">
        <v>232</v>
      </c>
      <c r="C63" s="377">
        <v>0.5</v>
      </c>
      <c r="D63" s="378" t="s">
        <v>105</v>
      </c>
      <c r="E63" s="379" t="s">
        <v>233</v>
      </c>
      <c r="F63" s="1" t="s">
        <v>185</v>
      </c>
      <c r="H63" s="380" t="s">
        <v>234</v>
      </c>
      <c r="I63" s="381"/>
    </row>
    <row r="64" ht="14.25" spans="2:12">
      <c r="B64" s="382" t="s">
        <v>235</v>
      </c>
      <c r="C64" s="383">
        <v>1</v>
      </c>
      <c r="D64" s="384" t="s">
        <v>47</v>
      </c>
      <c r="E64" s="385" t="s">
        <v>236</v>
      </c>
      <c r="F64" s="1" t="s">
        <v>237</v>
      </c>
      <c r="G64" s="1" t="s">
        <v>238</v>
      </c>
      <c r="H64" s="386" t="s">
        <v>239</v>
      </c>
      <c r="I64" s="387" t="s">
        <v>150</v>
      </c>
    </row>
    <row r="65" spans="2:12">
      <c r="B65" s="388"/>
      <c r="C65" s="389"/>
      <c r="D65" s="390" t="s">
        <v>52</v>
      </c>
      <c r="E65" s="391" t="s">
        <v>240</v>
      </c>
      <c r="H65" s="392"/>
      <c r="I65" s="393" t="s">
        <v>241</v>
      </c>
    </row>
    <row r="66" ht="14.25" spans="2:12">
      <c r="B66" s="394"/>
      <c r="C66" s="395"/>
      <c r="D66" s="396" t="s">
        <v>61</v>
      </c>
      <c r="E66" s="397">
        <v>1</v>
      </c>
      <c r="H66" s="392" t="s">
        <v>242</v>
      </c>
      <c r="I66" s="398"/>
    </row>
    <row r="67" spans="2:12">
      <c r="B67" s="351" t="s">
        <v>243</v>
      </c>
      <c r="C67" s="207"/>
      <c r="D67" s="25"/>
      <c r="E67" s="26"/>
      <c r="F67">
        <v>1</v>
      </c>
      <c r="G67">
        <v>100</v>
      </c>
      <c r="H67" s="392" t="s">
        <v>244</v>
      </c>
      <c r="I67" s="398"/>
    </row>
    <row r="68" spans="2:12">
      <c r="B68" s="351" t="s">
        <v>245</v>
      </c>
      <c r="E68" s="28"/>
      <c r="F68">
        <v>50</v>
      </c>
      <c r="G68">
        <v>100</v>
      </c>
      <c r="H68" s="380" t="s">
        <v>246</v>
      </c>
      <c r="I68" s="398"/>
    </row>
    <row r="69" spans="2:12">
      <c r="B69" s="27"/>
      <c r="E69" s="28"/>
      <c r="H69" s="399" t="s">
        <v>207</v>
      </c>
      <c r="I69" s="398"/>
    </row>
    <row r="70" spans="2:12">
      <c r="B70" s="351" t="s">
        <v>247</v>
      </c>
      <c r="E70" s="28"/>
      <c r="H70" s="400" t="s">
        <v>248</v>
      </c>
      <c r="I70" s="398"/>
      <c r="K70">
        <v>1000</v>
      </c>
    </row>
    <row r="71" spans="2:12">
      <c r="B71" s="351" t="s">
        <v>249</v>
      </c>
      <c r="E71" s="28"/>
      <c r="H71" s="401" t="s">
        <v>250</v>
      </c>
      <c r="I71" s="398"/>
      <c r="K71">
        <v>4000</v>
      </c>
    </row>
    <row r="72" spans="2:12">
      <c r="B72" s="27"/>
      <c r="E72" s="28"/>
      <c r="H72" s="402" t="s">
        <v>251</v>
      </c>
      <c r="I72" s="398"/>
    </row>
    <row r="73" ht="18.35" customHeight="1" spans="2:12">
      <c r="B73" s="351" t="s">
        <v>252</v>
      </c>
      <c r="E73" s="28"/>
      <c r="H73" s="380" t="s">
        <v>253</v>
      </c>
      <c r="I73" s="403"/>
    </row>
    <row r="74" ht="14.25" spans="2:12">
      <c r="B74" s="404" t="s">
        <v>254</v>
      </c>
      <c r="C74" s="30"/>
      <c r="D74" s="30"/>
      <c r="E74" s="31"/>
      <c r="H74" s="399" t="s">
        <v>211</v>
      </c>
      <c r="I74" s="398"/>
    </row>
    <row r="75" spans="2:12">
      <c r="F75" s="207"/>
      <c r="G75" s="207"/>
      <c r="H75" s="405" t="s">
        <v>255</v>
      </c>
      <c r="I75" s="398"/>
    </row>
    <row r="76" spans="2:12">
      <c r="F76" s="207"/>
      <c r="G76" s="207"/>
      <c r="H76" s="405" t="s">
        <v>256</v>
      </c>
      <c r="I76" s="398"/>
    </row>
    <row r="77" spans="2:12">
      <c r="H77" s="405" t="s">
        <v>257</v>
      </c>
      <c r="I77" s="398"/>
    </row>
    <row r="78" spans="2:12">
      <c r="H78" s="405" t="s">
        <v>258</v>
      </c>
      <c r="I78" s="403"/>
    </row>
    <row r="79" spans="2:12">
      <c r="H79" s="380" t="s">
        <v>259</v>
      </c>
      <c r="I79" s="403"/>
      <c r="L79" s="365"/>
    </row>
    <row r="80" spans="2:12">
      <c r="H80" s="380" t="s">
        <v>260</v>
      </c>
      <c r="I80" s="403"/>
      <c r="L80" s="365"/>
    </row>
    <row r="81" ht="14.25" spans="2:13">
      <c r="H81" s="406" t="s">
        <v>261</v>
      </c>
      <c r="I81" s="407"/>
      <c r="L81" s="365"/>
    </row>
    <row r="82" spans="2:13">
      <c r="L82" s="365"/>
    </row>
    <row r="83" spans="2:13">
      <c r="L83" s="365"/>
    </row>
    <row r="84" spans="2:13">
      <c r="G84" s="1"/>
    </row>
    <row r="85" s="43" customFormat="1" spans="2:13">
      <c r="G85" s="42"/>
    </row>
    <row r="86" spans="2:13">
      <c r="G86" s="1"/>
    </row>
    <row r="87" ht="14.25" spans="2:13">
      <c r="G87" s="1"/>
    </row>
    <row r="88" ht="14.25" spans="2:13">
      <c r="B88" s="408" t="s">
        <v>262</v>
      </c>
      <c r="C88" s="409"/>
      <c r="D88" s="410"/>
      <c r="E88" s="411"/>
    </row>
    <row r="89" spans="2:13">
      <c r="B89" s="412" t="s">
        <v>263</v>
      </c>
      <c r="C89" s="413"/>
      <c r="D89" s="413" t="s">
        <v>264</v>
      </c>
      <c r="E89" s="414"/>
      <c r="K89" s="207"/>
      <c r="L89" s="207"/>
      <c r="M89" s="207"/>
    </row>
    <row r="90" spans="2:13">
      <c r="B90" s="415" t="s">
        <v>265</v>
      </c>
      <c r="C90" s="215" t="s">
        <v>266</v>
      </c>
      <c r="D90" s="215" t="s">
        <v>267</v>
      </c>
      <c r="E90" s="416" t="s">
        <v>268</v>
      </c>
      <c r="K90" s="207"/>
      <c r="L90" s="207"/>
      <c r="M90" s="207"/>
    </row>
    <row r="91" spans="2:13">
      <c r="B91" s="417" t="s">
        <v>269</v>
      </c>
      <c r="C91" s="418" t="s">
        <v>270</v>
      </c>
      <c r="D91" s="418" t="s">
        <v>271</v>
      </c>
      <c r="E91" s="419" t="s">
        <v>272</v>
      </c>
      <c r="K91" s="207"/>
      <c r="L91" s="207"/>
      <c r="M91" s="207"/>
    </row>
    <row r="92" spans="2:13">
      <c r="B92" s="420" t="s">
        <v>273</v>
      </c>
      <c r="C92" s="129"/>
      <c r="D92" s="129" t="s">
        <v>274</v>
      </c>
      <c r="E92" s="421"/>
      <c r="K92" s="207"/>
      <c r="L92" s="207"/>
      <c r="M92" s="207"/>
    </row>
    <row r="93" ht="14.25" spans="2:13">
      <c r="B93" s="71" t="s">
        <v>275</v>
      </c>
      <c r="C93" s="128" t="s">
        <v>189</v>
      </c>
      <c r="D93" s="128" t="s">
        <v>276</v>
      </c>
      <c r="E93" s="422"/>
      <c r="K93" s="207"/>
      <c r="L93" s="207"/>
      <c r="M93" s="207"/>
    </row>
    <row r="94" ht="14.25" spans="2:13">
      <c r="K94" s="207"/>
      <c r="L94" s="207"/>
      <c r="M94" s="207"/>
    </row>
    <row r="95" ht="14.25" spans="2:13">
      <c r="B95" s="423" t="s">
        <v>277</v>
      </c>
      <c r="C95" s="424"/>
      <c r="D95" s="425"/>
      <c r="L95" s="207"/>
      <c r="M95" s="207"/>
    </row>
    <row r="96" spans="2:13">
      <c r="B96" s="34" t="s">
        <v>278</v>
      </c>
      <c r="D96" s="28"/>
      <c r="L96" s="207"/>
      <c r="M96" s="207"/>
    </row>
    <row r="97" spans="2:13">
      <c r="B97" s="34" t="s">
        <v>279</v>
      </c>
      <c r="D97" s="28"/>
      <c r="L97" s="207"/>
      <c r="M97" s="207"/>
    </row>
    <row r="98" ht="14.25" spans="2:13">
      <c r="B98" s="426" t="s">
        <v>280</v>
      </c>
      <c r="C98" s="30"/>
      <c r="D98" s="31"/>
      <c r="K98" s="207"/>
      <c r="L98" s="207"/>
      <c r="M98" s="207"/>
    </row>
    <row r="99" ht="14.25" spans="2:13">
      <c r="B99" s="207"/>
      <c r="K99" s="207"/>
      <c r="L99" s="207"/>
      <c r="M99" s="207"/>
    </row>
    <row r="100" ht="14.25" spans="2:13">
      <c r="B100" s="423" t="s">
        <v>281</v>
      </c>
      <c r="C100" s="424"/>
      <c r="D100" s="425"/>
      <c r="K100" s="207"/>
      <c r="L100" s="207"/>
      <c r="M100" s="207"/>
    </row>
    <row r="101" spans="2:13">
      <c r="B101" s="34" t="s">
        <v>282</v>
      </c>
      <c r="D101" s="28"/>
      <c r="K101" s="207"/>
      <c r="L101" s="207"/>
      <c r="M101" s="207"/>
    </row>
    <row r="102" spans="2:13">
      <c r="B102" s="34" t="s">
        <v>283</v>
      </c>
      <c r="D102" s="28"/>
      <c r="K102" s="207"/>
      <c r="L102" s="207"/>
      <c r="M102" s="207"/>
    </row>
    <row r="103" spans="2:13">
      <c r="B103" s="34" t="s">
        <v>284</v>
      </c>
      <c r="D103" s="28"/>
      <c r="K103" s="207"/>
      <c r="L103" s="207"/>
      <c r="M103" s="207"/>
    </row>
    <row r="104" ht="14.25" spans="2:13">
      <c r="B104" s="427" t="s">
        <v>285</v>
      </c>
      <c r="C104" s="30"/>
      <c r="D104" s="31"/>
      <c r="K104" s="207"/>
      <c r="L104" s="207"/>
      <c r="M104" s="207"/>
    </row>
    <row r="105" spans="2:13">
      <c r="K105" s="207"/>
      <c r="L105" s="207"/>
      <c r="M105" s="207"/>
    </row>
    <row r="106" ht="14.25" spans="2:13">
      <c r="G106" s="207"/>
      <c r="H106" s="207"/>
      <c r="I106" s="207"/>
      <c r="J106" s="207"/>
      <c r="K106" s="207"/>
      <c r="L106" s="207"/>
      <c r="M106" s="207"/>
    </row>
    <row r="107" ht="14.25" spans="2:13">
      <c r="B107" s="423" t="s">
        <v>286</v>
      </c>
      <c r="C107" s="428" t="s">
        <v>287</v>
      </c>
      <c r="D107" s="425"/>
      <c r="E107" s="409" t="s">
        <v>288</v>
      </c>
      <c r="F107" s="429"/>
      <c r="G107" s="411"/>
      <c r="H107" s="207"/>
      <c r="I107" s="430" t="s">
        <v>289</v>
      </c>
      <c r="J107" s="431"/>
      <c r="K107" s="432"/>
    </row>
    <row r="108" spans="2:13">
      <c r="B108" s="24"/>
      <c r="C108" s="25"/>
      <c r="D108" s="26"/>
      <c r="E108" s="32" t="s">
        <v>290</v>
      </c>
      <c r="F108" s="25"/>
      <c r="G108" s="26"/>
      <c r="H108" s="339"/>
      <c r="I108" s="34" t="s">
        <v>291</v>
      </c>
      <c r="J108" s="1" t="s">
        <v>292</v>
      </c>
      <c r="K108" s="28"/>
    </row>
    <row r="109" spans="2:13">
      <c r="B109" s="27"/>
      <c r="C109" s="207"/>
      <c r="D109" s="28"/>
      <c r="E109" s="34" t="s">
        <v>293</v>
      </c>
      <c r="F109" s="207"/>
      <c r="G109" s="28"/>
      <c r="H109" s="207"/>
      <c r="I109" s="34" t="s">
        <v>294</v>
      </c>
      <c r="K109" s="28"/>
    </row>
    <row r="110" spans="2:13">
      <c r="B110" s="27"/>
      <c r="C110" s="207"/>
      <c r="D110" s="28"/>
      <c r="E110" s="433" t="s">
        <v>295</v>
      </c>
      <c r="F110" s="434"/>
      <c r="G110" s="435"/>
      <c r="H110" s="339"/>
      <c r="I110" s="27"/>
      <c r="K110" s="28"/>
    </row>
    <row r="111" spans="2:13">
      <c r="B111" s="27"/>
      <c r="C111" s="207"/>
      <c r="D111" s="28"/>
      <c r="E111" s="433" t="s">
        <v>296</v>
      </c>
      <c r="F111" s="436"/>
      <c r="G111" s="437"/>
      <c r="H111" s="1"/>
      <c r="I111" s="27"/>
      <c r="K111" s="28"/>
    </row>
    <row r="112" spans="2:13">
      <c r="B112" s="27"/>
      <c r="C112" s="207"/>
      <c r="D112" s="28"/>
      <c r="E112" s="438" t="s">
        <v>297</v>
      </c>
      <c r="F112" s="436"/>
      <c r="G112" s="435"/>
      <c r="H112" s="1"/>
      <c r="I112" s="34"/>
      <c r="K112" s="28"/>
    </row>
    <row r="113" spans="1:11">
      <c r="B113" s="27"/>
      <c r="C113" s="207"/>
      <c r="D113" s="28"/>
      <c r="E113" s="433" t="s">
        <v>298</v>
      </c>
      <c r="F113" s="434"/>
      <c r="G113" s="435"/>
      <c r="I113" s="27"/>
      <c r="K113" s="28"/>
    </row>
    <row r="114" spans="1:11">
      <c r="B114" s="27"/>
      <c r="C114" s="207"/>
      <c r="D114" s="28"/>
      <c r="E114" s="34" t="s">
        <v>299</v>
      </c>
      <c r="F114" s="207"/>
      <c r="G114" s="28"/>
      <c r="I114" s="27"/>
      <c r="K114" s="28"/>
    </row>
    <row r="115" customHeight="1" spans="1:11">
      <c r="B115" s="27"/>
      <c r="C115" s="207"/>
      <c r="D115" s="28"/>
      <c r="E115" s="34" t="s">
        <v>300</v>
      </c>
      <c r="F115" s="207"/>
      <c r="G115" s="28"/>
      <c r="I115" s="27"/>
      <c r="K115" s="28"/>
    </row>
    <row r="116" spans="1:11">
      <c r="B116" s="27"/>
      <c r="C116" s="207"/>
      <c r="D116" s="28"/>
      <c r="E116" s="34" t="s">
        <v>301</v>
      </c>
      <c r="F116" s="207"/>
      <c r="G116" s="28"/>
      <c r="I116" s="27"/>
      <c r="K116" s="28"/>
    </row>
    <row r="117" ht="14.25" spans="1:11">
      <c r="B117" s="27"/>
      <c r="C117" s="207"/>
      <c r="D117" s="28"/>
      <c r="E117" s="439" t="s">
        <v>302</v>
      </c>
      <c r="F117" s="440"/>
      <c r="G117" s="31"/>
      <c r="I117" s="29"/>
      <c r="J117" s="30"/>
      <c r="K117" s="31"/>
    </row>
    <row r="118" ht="14.25" spans="1:11">
      <c r="B118" s="27"/>
      <c r="C118" s="207"/>
      <c r="D118" s="28"/>
    </row>
    <row r="119" ht="14.25" spans="1:11">
      <c r="A119" s="1"/>
      <c r="B119" s="27"/>
      <c r="C119" s="207"/>
      <c r="D119" s="28"/>
      <c r="E119" s="1"/>
      <c r="J119" s="441" t="s">
        <v>303</v>
      </c>
      <c r="K119" s="442"/>
    </row>
    <row r="120" ht="79.1" spans="1:11">
      <c r="B120" s="27"/>
      <c r="C120" s="207"/>
      <c r="D120" s="28"/>
      <c r="E120" s="443" t="s">
        <v>304</v>
      </c>
      <c r="F120" s="444" t="s">
        <v>305</v>
      </c>
      <c r="G120" s="444" t="s">
        <v>306</v>
      </c>
      <c r="H120" s="445" t="s">
        <v>307</v>
      </c>
      <c r="J120" s="27" t="str">
        <f>_xlfn.DISPIMG("ID_9BC68C4A9AC04E2FB6CF12F75BE6269A",1)</f>
        <v>=DISPIMG("ID_9BC68C4A9AC04E2FB6CF12F75BE6269A",1)</v>
      </c>
      <c r="K120" s="28" t="str">
        <f>_xlfn.DISPIMG("ID_50FF1B0D9A64409DA8129808340625E3",1)</f>
        <v>=DISPIMG("ID_50FF1B0D9A64409DA8129808340625E3",1)</v>
      </c>
    </row>
    <row r="121" ht="88.1" spans="1:11">
      <c r="B121" s="27"/>
      <c r="C121" s="207"/>
      <c r="D121" s="28"/>
      <c r="E121" s="446" t="s">
        <v>308</v>
      </c>
      <c r="F121" s="446" t="s">
        <v>309</v>
      </c>
      <c r="G121" s="446" t="s">
        <v>310</v>
      </c>
      <c r="H121" s="447">
        <v>5835</v>
      </c>
      <c r="J121" s="29" t="str">
        <f>_xlfn.DISPIMG("ID_4C3BB1DC997640D881C9CBE938749B5C",1)</f>
        <v>=DISPIMG("ID_4C3BB1DC997640D881C9CBE938749B5C",1)</v>
      </c>
      <c r="K121" s="31"/>
    </row>
    <row r="122" ht="14.25" spans="1:11">
      <c r="B122" s="27"/>
      <c r="C122" s="207"/>
      <c r="D122" s="28"/>
      <c r="E122" s="448"/>
      <c r="F122" s="449"/>
      <c r="G122" s="449"/>
      <c r="H122" s="450"/>
    </row>
    <row r="123" ht="14.25" spans="1:11">
      <c r="B123" s="27"/>
      <c r="C123" s="207"/>
      <c r="D123" s="28"/>
      <c r="E123" s="443" t="s">
        <v>311</v>
      </c>
      <c r="F123" s="444" t="s">
        <v>305</v>
      </c>
      <c r="G123" s="444" t="s">
        <v>306</v>
      </c>
      <c r="H123" s="445" t="s">
        <v>307</v>
      </c>
    </row>
    <row r="124" spans="1:11">
      <c r="B124" s="27"/>
      <c r="C124" s="207"/>
      <c r="D124" s="28"/>
      <c r="E124" s="451" t="s">
        <v>308</v>
      </c>
      <c r="F124" s="446" t="s">
        <v>309</v>
      </c>
      <c r="G124" s="446" t="s">
        <v>310</v>
      </c>
      <c r="H124" s="447">
        <v>5835</v>
      </c>
    </row>
    <row r="125" spans="1:11">
      <c r="B125" s="27"/>
      <c r="C125" s="207"/>
      <c r="D125" s="28"/>
      <c r="E125" s="452" t="s">
        <v>312</v>
      </c>
      <c r="F125" s="453" t="s">
        <v>309</v>
      </c>
      <c r="G125" s="453" t="s">
        <v>313</v>
      </c>
      <c r="H125" s="454">
        <v>5836</v>
      </c>
    </row>
    <row r="126" spans="1:11">
      <c r="B126" s="27"/>
      <c r="C126" s="207"/>
      <c r="D126" s="28"/>
      <c r="E126" s="455" t="s">
        <v>314</v>
      </c>
      <c r="F126" s="456" t="s">
        <v>309</v>
      </c>
      <c r="G126" s="456" t="s">
        <v>315</v>
      </c>
      <c r="H126" s="457">
        <v>5837</v>
      </c>
    </row>
    <row r="127" ht="27.75" spans="1:11">
      <c r="B127" s="29"/>
      <c r="C127" s="30"/>
      <c r="D127" s="31"/>
      <c r="E127" s="455" t="s">
        <v>316</v>
      </c>
      <c r="F127" s="456" t="s">
        <v>309</v>
      </c>
      <c r="G127" s="456" t="s">
        <v>317</v>
      </c>
      <c r="H127" s="457">
        <v>5838</v>
      </c>
    </row>
    <row r="128" ht="14.25" spans="1:11">
      <c r="B128" s="27"/>
      <c r="C128" s="207"/>
      <c r="D128" s="207"/>
      <c r="E128" s="448"/>
      <c r="F128" s="449"/>
      <c r="G128" s="449"/>
      <c r="H128" s="450"/>
    </row>
    <row r="129" ht="14.25" spans="2:9">
      <c r="B129" s="27"/>
      <c r="C129" s="207"/>
      <c r="D129" s="207"/>
      <c r="E129" s="443" t="s">
        <v>318</v>
      </c>
      <c r="F129" s="444" t="s">
        <v>305</v>
      </c>
      <c r="G129" s="444" t="s">
        <v>306</v>
      </c>
      <c r="H129" s="445" t="s">
        <v>307</v>
      </c>
    </row>
    <row r="130" ht="27" spans="2:9">
      <c r="B130" s="27"/>
      <c r="C130" s="207"/>
      <c r="D130" s="207"/>
      <c r="E130" s="458" t="s">
        <v>319</v>
      </c>
      <c r="F130" s="459" t="s">
        <v>320</v>
      </c>
      <c r="G130" s="459" t="s">
        <v>321</v>
      </c>
      <c r="H130" s="460">
        <v>5839</v>
      </c>
    </row>
    <row r="131" ht="27.75" spans="2:9">
      <c r="B131" s="27"/>
      <c r="C131" s="207"/>
      <c r="D131" s="207"/>
      <c r="E131" s="461" t="s">
        <v>322</v>
      </c>
      <c r="F131" s="462" t="s">
        <v>323</v>
      </c>
      <c r="G131" s="462" t="s">
        <v>324</v>
      </c>
      <c r="H131" s="422">
        <v>5840</v>
      </c>
    </row>
    <row r="132" ht="14.25" spans="2:9">
      <c r="B132" s="27"/>
      <c r="C132" s="207"/>
      <c r="D132" s="28"/>
      <c r="H132" s="445" t="s">
        <v>307</v>
      </c>
    </row>
    <row r="133" ht="203.25" spans="2:9">
      <c r="B133" s="27"/>
      <c r="C133" s="207"/>
      <c r="D133" s="28"/>
      <c r="E133" s="423" t="s">
        <v>325</v>
      </c>
      <c r="F133" s="463" t="s">
        <v>326</v>
      </c>
      <c r="H133">
        <v>5841</v>
      </c>
    </row>
    <row r="134" spans="2:9">
      <c r="B134" s="27"/>
      <c r="C134" s="207"/>
      <c r="D134" s="28"/>
      <c r="E134" s="207"/>
      <c r="F134" s="207"/>
    </row>
    <row r="135" spans="2:9">
      <c r="B135" s="27"/>
      <c r="C135" s="207"/>
      <c r="D135" s="28"/>
      <c r="E135" s="207"/>
      <c r="F135" s="207"/>
    </row>
    <row r="136" spans="2:9">
      <c r="B136" s="27"/>
      <c r="C136" s="207"/>
      <c r="D136" s="28"/>
      <c r="E136" s="207"/>
      <c r="F136" s="207"/>
    </row>
    <row r="137" spans="2:9">
      <c r="B137" s="27"/>
      <c r="C137" s="207"/>
      <c r="D137" s="28"/>
      <c r="E137" s="207"/>
      <c r="F137" s="207"/>
    </row>
    <row r="138" ht="14.25" spans="2:9">
      <c r="B138" s="29"/>
      <c r="C138" s="30"/>
      <c r="D138" s="31"/>
      <c r="E138" s="207"/>
      <c r="F138" s="207"/>
    </row>
    <row r="139" spans="2:9">
      <c r="I139" s="1"/>
    </row>
    <row r="140" spans="2:9">
      <c r="I140" s="1"/>
    </row>
    <row r="141" spans="2:9">
      <c r="I141" s="1"/>
    </row>
    <row r="142" spans="2:9">
      <c r="I142" s="1"/>
    </row>
    <row r="143" spans="2:9">
      <c r="I143" s="1"/>
    </row>
    <row r="144" spans="2:9">
      <c r="I144" s="1"/>
    </row>
    <row r="145" spans="9:9">
      <c r="I145" s="1"/>
    </row>
    <row r="146" spans="9:9">
      <c r="I146" s="1"/>
    </row>
    <row r="147" spans="9:9">
      <c r="I147" s="1"/>
    </row>
    <row r="148" spans="9:9">
      <c r="I148" s="1"/>
    </row>
    <row r="149" spans="9:9">
      <c r="I149" s="1"/>
    </row>
    <row r="150" spans="9:9">
      <c r="I150" s="1"/>
    </row>
    <row r="151" spans="9:9">
      <c r="I151" s="1"/>
    </row>
    <row r="152" spans="9:9">
      <c r="I152" s="1"/>
    </row>
    <row r="153" spans="9:9">
      <c r="I153" s="1"/>
    </row>
    <row r="154" spans="9:9">
      <c r="I154" s="1"/>
    </row>
    <row r="155" spans="9:9">
      <c r="I155" s="1"/>
    </row>
    <row r="156" spans="9:9">
      <c r="I156" s="1"/>
    </row>
    <row r="157" spans="9:9">
      <c r="I157" s="1"/>
    </row>
    <row r="158" spans="9:9">
      <c r="I158" s="1"/>
    </row>
    <row r="159" spans="9:9">
      <c r="I159" s="1"/>
    </row>
    <row r="160" spans="9:9">
      <c r="I160" s="1"/>
    </row>
    <row r="161" spans="2:11">
      <c r="I161" s="1"/>
    </row>
    <row r="162" spans="2:11">
      <c r="I162" s="1"/>
    </row>
    <row r="163" spans="2:11">
      <c r="I163" s="1"/>
    </row>
    <row r="164" ht="14.25" spans="2:11">
      <c r="I164" s="1"/>
    </row>
    <row r="165" ht="182.4" spans="2:11">
      <c r="B165" s="464" t="s">
        <v>327</v>
      </c>
      <c r="C165" s="465" t="str">
        <f>_xlfn.DISPIMG("ID_853D4A31C2674E7C924D944E4908687B",1)</f>
        <v>=DISPIMG("ID_853D4A31C2674E7C924D944E4908687B",1)</v>
      </c>
      <c r="D165" s="466"/>
      <c r="E165" s="467" t="s">
        <v>328</v>
      </c>
      <c r="F165" s="468"/>
      <c r="G165" s="469"/>
    </row>
    <row r="166" spans="2:11">
      <c r="B166" s="470"/>
      <c r="C166" s="471"/>
      <c r="D166" s="472"/>
      <c r="E166" s="473" t="s">
        <v>329</v>
      </c>
      <c r="F166" s="468"/>
      <c r="G166" s="469"/>
    </row>
    <row r="167" spans="2:11">
      <c r="B167" s="470"/>
      <c r="C167" s="471"/>
      <c r="D167" s="472"/>
      <c r="E167" s="474" t="s">
        <v>330</v>
      </c>
      <c r="F167" s="471"/>
      <c r="G167" s="472"/>
    </row>
    <row r="168" spans="2:11">
      <c r="B168" s="470"/>
      <c r="C168" s="471"/>
      <c r="D168" s="472"/>
      <c r="E168" s="474" t="s">
        <v>331</v>
      </c>
      <c r="F168" s="471"/>
      <c r="G168" s="472"/>
      <c r="I168" s="1"/>
    </row>
    <row r="169" spans="2:11">
      <c r="B169" s="470"/>
      <c r="C169" s="471"/>
      <c r="D169" s="472"/>
      <c r="E169" s="474" t="s">
        <v>332</v>
      </c>
      <c r="F169" s="471"/>
      <c r="G169" s="472"/>
    </row>
    <row r="170" ht="14.25" spans="2:11">
      <c r="B170" s="470"/>
      <c r="C170" s="471"/>
      <c r="D170" s="472"/>
      <c r="E170" s="475" t="s">
        <v>333</v>
      </c>
      <c r="F170" s="476"/>
      <c r="G170" s="477"/>
    </row>
    <row r="173" s="43" customFormat="1"/>
    <row r="175" ht="14.25"/>
    <row r="176" spans="2:11">
      <c r="B176" s="116"/>
      <c r="C176" s="117" t="s">
        <v>334</v>
      </c>
      <c r="D176" s="118" t="s">
        <v>176</v>
      </c>
      <c r="E176" s="118" t="s">
        <v>191</v>
      </c>
      <c r="F176" s="118" t="s">
        <v>179</v>
      </c>
      <c r="G176" s="119" t="s">
        <v>150</v>
      </c>
      <c r="H176" s="119" t="s">
        <v>158</v>
      </c>
      <c r="I176" s="119" t="s">
        <v>165</v>
      </c>
      <c r="J176" s="119" t="s">
        <v>174</v>
      </c>
      <c r="K176" s="120" t="s">
        <v>172</v>
      </c>
    </row>
    <row r="177" spans="2:11">
      <c r="B177" s="124"/>
      <c r="C177" s="125" t="s">
        <v>335</v>
      </c>
      <c r="D177" s="126" t="s">
        <v>335</v>
      </c>
      <c r="E177" s="126" t="s">
        <v>335</v>
      </c>
      <c r="F177" s="126" t="s">
        <v>335</v>
      </c>
      <c r="G177" s="126" t="s">
        <v>335</v>
      </c>
      <c r="H177" s="126" t="s">
        <v>335</v>
      </c>
      <c r="I177" s="126" t="s">
        <v>335</v>
      </c>
      <c r="J177" s="126" t="s">
        <v>335</v>
      </c>
      <c r="K177" s="127" t="s">
        <v>335</v>
      </c>
    </row>
    <row r="178" spans="2:11">
      <c r="B178" s="133">
        <v>1</v>
      </c>
      <c r="C178" s="134" t="s">
        <v>336</v>
      </c>
      <c r="D178" s="135" t="s">
        <v>336</v>
      </c>
      <c r="E178" s="135" t="s">
        <v>336</v>
      </c>
      <c r="F178" s="135" t="s">
        <v>336</v>
      </c>
      <c r="G178" s="135" t="s">
        <v>336</v>
      </c>
      <c r="H178" s="135" t="s">
        <v>336</v>
      </c>
      <c r="I178" s="135" t="s">
        <v>336</v>
      </c>
      <c r="J178" s="135" t="s">
        <v>336</v>
      </c>
      <c r="K178" s="136" t="s">
        <v>336</v>
      </c>
    </row>
    <row r="179" spans="2:11">
      <c r="B179" s="138">
        <v>2</v>
      </c>
      <c r="C179" s="134" t="s">
        <v>337</v>
      </c>
      <c r="D179" s="135" t="s">
        <v>337</v>
      </c>
      <c r="E179" s="135" t="s">
        <v>337</v>
      </c>
      <c r="F179" s="135" t="s">
        <v>338</v>
      </c>
      <c r="G179" s="135" t="s">
        <v>339</v>
      </c>
      <c r="H179" s="135" t="s">
        <v>340</v>
      </c>
      <c r="I179" s="135" t="s">
        <v>338</v>
      </c>
      <c r="J179" s="135" t="s">
        <v>341</v>
      </c>
      <c r="K179" s="136" t="s">
        <v>342</v>
      </c>
    </row>
    <row r="180" spans="2:11">
      <c r="B180" s="133">
        <v>3</v>
      </c>
      <c r="C180" s="134" t="s">
        <v>343</v>
      </c>
      <c r="D180" s="135" t="s">
        <v>344</v>
      </c>
      <c r="E180" s="135" t="s">
        <v>344</v>
      </c>
      <c r="F180" s="135" t="s">
        <v>344</v>
      </c>
      <c r="G180" s="135" t="s">
        <v>343</v>
      </c>
      <c r="H180" s="150" t="s">
        <v>345</v>
      </c>
      <c r="I180" s="135" t="s">
        <v>344</v>
      </c>
      <c r="J180" s="150" t="s">
        <v>345</v>
      </c>
      <c r="K180" s="136" t="s">
        <v>344</v>
      </c>
    </row>
    <row r="181" ht="14.25" spans="2:11">
      <c r="B181" s="152">
        <v>4</v>
      </c>
      <c r="C181" s="478" t="s">
        <v>346</v>
      </c>
      <c r="D181" s="479" t="s">
        <v>346</v>
      </c>
      <c r="E181" s="479" t="s">
        <v>347</v>
      </c>
      <c r="F181" s="479" t="s">
        <v>347</v>
      </c>
      <c r="G181" s="479" t="s">
        <v>348</v>
      </c>
      <c r="H181" s="479" t="s">
        <v>349</v>
      </c>
      <c r="I181" s="479" t="s">
        <v>350</v>
      </c>
      <c r="J181" s="479" t="s">
        <v>351</v>
      </c>
      <c r="K181" s="480" t="s">
        <v>352</v>
      </c>
    </row>
  </sheetData>
  <sheetProtection formatCells="0" formatColumns="0" formatRows="0" insertRows="0" insertColumns="0" insertHyperlinks="0" deleteColumns="0" deleteRows="0" sort="0" autoFilter="0" pivotTables="0"/>
  <mergeCells count="9">
    <mergeCell ref="H61:I61"/>
    <mergeCell ref="G12:G16"/>
    <mergeCell ref="G17:G19"/>
    <mergeCell ref="G20:G35"/>
    <mergeCell ref="H12:H16"/>
    <mergeCell ref="H17:H19"/>
    <mergeCell ref="H20:H35"/>
    <mergeCell ref="K12:K19"/>
    <mergeCell ref="K20:K3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DD7EE"/>
  </sheetPr>
  <dimension ref="A1:V85"/>
  <sheetViews>
    <sheetView topLeftCell="B20" workbookViewId="0">
      <selection activeCell="K1" sqref="K1"/>
    </sheetView>
  </sheetViews>
  <sheetFormatPr defaultColWidth="9" defaultRowHeight="13.5"/>
  <cols>
    <col min="1" max="1" width="19.25" customWidth="1"/>
    <col min="2" max="22" width="23.5" customWidth="1"/>
  </cols>
  <sheetData>
    <row r="1" spans="1:22">
      <c r="A1" s="296" t="s">
        <v>353</v>
      </c>
      <c r="B1" s="296" t="s">
        <v>354</v>
      </c>
      <c r="C1" s="296" t="s">
        <v>355</v>
      </c>
      <c r="D1" s="296" t="s">
        <v>356</v>
      </c>
      <c r="E1" s="296" t="s">
        <v>357</v>
      </c>
      <c r="F1" s="296" t="s">
        <v>358</v>
      </c>
      <c r="G1" s="297" t="s">
        <v>359</v>
      </c>
      <c r="H1" s="297" t="s">
        <v>360</v>
      </c>
      <c r="I1" s="297" t="s">
        <v>361</v>
      </c>
      <c r="J1" s="297" t="s">
        <v>362</v>
      </c>
      <c r="K1" s="297" t="s">
        <v>363</v>
      </c>
      <c r="L1" s="297" t="s">
        <v>364</v>
      </c>
      <c r="M1" s="297" t="s">
        <v>365</v>
      </c>
      <c r="N1" s="297" t="s">
        <v>366</v>
      </c>
      <c r="O1" s="297" t="s">
        <v>367</v>
      </c>
      <c r="P1" s="297" t="s">
        <v>368</v>
      </c>
      <c r="Q1" s="297" t="s">
        <v>369</v>
      </c>
      <c r="R1" s="297" t="s">
        <v>370</v>
      </c>
      <c r="S1" s="297" t="s">
        <v>371</v>
      </c>
      <c r="T1" s="297" t="s">
        <v>372</v>
      </c>
      <c r="U1" s="297" t="s">
        <v>373</v>
      </c>
      <c r="V1" s="297" t="s">
        <v>374</v>
      </c>
    </row>
    <row r="2" spans="1:22">
      <c r="A2" s="135" t="s">
        <v>375</v>
      </c>
      <c r="B2" s="235"/>
      <c r="C2" s="235"/>
      <c r="D2" s="235"/>
      <c r="E2" s="235"/>
      <c r="F2" s="235"/>
      <c r="G2" s="40" t="str">
        <f>_xlfn.CONCAT(熔炼属性池!G$1,熔炼属性池!$A2)</f>
        <v>[狂战]物理、法术攻击力</v>
      </c>
      <c r="H2" s="40" t="str">
        <f>_xlfn.CONCAT(熔炼属性池!H$1,熔炼属性池!$A2)</f>
        <v>[霸刀]物理、法术攻击力</v>
      </c>
      <c r="I2" s="40" t="str">
        <f>_xlfn.CONCAT(熔炼属性池!I$1,熔炼属性池!$A2)</f>
        <v>[武圣]物理、法术攻击力</v>
      </c>
      <c r="J2" s="40" t="str">
        <f>_xlfn.CONCAT(熔炼属性池!J$1,熔炼属性池!$A2)</f>
        <v>[魔刃]物理、法术攻击力</v>
      </c>
      <c r="K2" s="40" t="str">
        <f>_xlfn.CONCAT(熔炼属性池!K$1,熔炼属性池!$A2)</f>
        <v>[七杀]物理、法术攻击力</v>
      </c>
      <c r="L2" s="40" t="str">
        <f>_xlfn.CONCAT(熔炼属性池!L$1,熔炼属性池!$A2)</f>
        <v>[破军]物理、法术攻击力</v>
      </c>
      <c r="M2" s="40" t="str">
        <f>_xlfn.CONCAT(熔炼属性池!M$1,熔炼属性池!$A2)</f>
        <v>[霸王]物理、法术攻击力</v>
      </c>
      <c r="N2" s="40" t="str">
        <f>_xlfn.CONCAT(熔炼属性池!N$1,熔炼属性池!$A2)</f>
        <v>[贪狼]物理、法术攻击力</v>
      </c>
      <c r="O2" s="40" t="str">
        <f>_xlfn.CONCAT(熔炼属性池!O$1,熔炼属性池!$A2)</f>
        <v>[技师]物理、法术攻击力</v>
      </c>
      <c r="P2" s="40" t="str">
        <f>_xlfn.CONCAT(熔炼属性池!P$1,熔炼属性池!$A2)</f>
        <v>[天翔]物理、法术攻击力</v>
      </c>
      <c r="Q2" s="40" t="str">
        <f>_xlfn.CONCAT(熔炼属性池!Q$1,熔炼属性池!$A2)</f>
        <v>[魔羽]物理、法术攻击力</v>
      </c>
      <c r="R2" s="40" t="str">
        <f>_xlfn.CONCAT(熔炼属性池!R$1,熔炼属性池!$A2)</f>
        <v>[影杀]物理、法术攻击力</v>
      </c>
      <c r="S2" s="40" t="str">
        <f>_xlfn.CONCAT(熔炼属性池!S$1,熔炼属性池!$A2)</f>
        <v>[术士]物理、法术攻击力</v>
      </c>
      <c r="T2" s="40" t="str">
        <f>_xlfn.CONCAT(熔炼属性池!T$1,熔炼属性池!$A2)</f>
        <v>[斗魂]物理、法术攻击力</v>
      </c>
      <c r="U2" s="40" t="str">
        <f>_xlfn.CONCAT(熔炼属性池!U$1,熔炼属性池!$A2)</f>
        <v>[幻魔]物理、法术攻击力</v>
      </c>
      <c r="V2" s="40" t="str">
        <f>_xlfn.CONCAT(熔炼属性池!V$1,熔炼属性池!$A2)</f>
        <v>[鬼狩]物理、法术攻击力</v>
      </c>
    </row>
    <row r="3" spans="1:22">
      <c r="A3" s="135" t="s">
        <v>343</v>
      </c>
      <c r="B3" s="235"/>
      <c r="C3" s="235"/>
      <c r="D3" s="235"/>
      <c r="E3" s="235"/>
      <c r="F3" s="235"/>
      <c r="G3" s="40" t="str">
        <f>_xlfn.CONCAT(熔炼属性池!G$1,熔炼属性池!$A3)</f>
        <v>[狂战]攻击加持</v>
      </c>
      <c r="H3" s="40" t="str">
        <f>_xlfn.CONCAT(熔炼属性池!H$1,熔炼属性池!$A3)</f>
        <v>[霸刀]攻击加持</v>
      </c>
      <c r="I3" s="40" t="str">
        <f>_xlfn.CONCAT(熔炼属性池!I$1,熔炼属性池!$A3)</f>
        <v>[武圣]攻击加持</v>
      </c>
      <c r="J3" s="40" t="str">
        <f>_xlfn.CONCAT(熔炼属性池!J$1,熔炼属性池!$A3)</f>
        <v>[魔刃]攻击加持</v>
      </c>
      <c r="K3" s="40" t="str">
        <f>_xlfn.CONCAT(熔炼属性池!K$1,熔炼属性池!$A3)</f>
        <v>[七杀]攻击加持</v>
      </c>
      <c r="L3" s="40" t="str">
        <f>_xlfn.CONCAT(熔炼属性池!L$1,熔炼属性池!$A3)</f>
        <v>[破军]攻击加持</v>
      </c>
      <c r="M3" s="40" t="str">
        <f>_xlfn.CONCAT(熔炼属性池!M$1,熔炼属性池!$A3)</f>
        <v>[霸王]攻击加持</v>
      </c>
      <c r="N3" s="40" t="str">
        <f>_xlfn.CONCAT(熔炼属性池!N$1,熔炼属性池!$A3)</f>
        <v>[贪狼]攻击加持</v>
      </c>
      <c r="O3" s="40" t="str">
        <f>_xlfn.CONCAT(熔炼属性池!O$1,熔炼属性池!$A3)</f>
        <v>[技师]攻击加持</v>
      </c>
      <c r="P3" s="40" t="str">
        <f>_xlfn.CONCAT(熔炼属性池!P$1,熔炼属性池!$A3)</f>
        <v>[天翔]攻击加持</v>
      </c>
      <c r="Q3" s="40" t="str">
        <f>_xlfn.CONCAT(熔炼属性池!Q$1,熔炼属性池!$A3)</f>
        <v>[魔羽]攻击加持</v>
      </c>
      <c r="R3" s="40" t="str">
        <f>_xlfn.CONCAT(熔炼属性池!R$1,熔炼属性池!$A3)</f>
        <v>[影杀]攻击加持</v>
      </c>
      <c r="S3" s="40" t="str">
        <f>_xlfn.CONCAT(熔炼属性池!S$1,熔炼属性池!$A3)</f>
        <v>[术士]攻击加持</v>
      </c>
      <c r="T3" s="40" t="str">
        <f>_xlfn.CONCAT(熔炼属性池!T$1,熔炼属性池!$A3)</f>
        <v>[斗魂]攻击加持</v>
      </c>
      <c r="U3" s="40" t="str">
        <f>_xlfn.CONCAT(熔炼属性池!U$1,熔炼属性池!$A3)</f>
        <v>[幻魔]攻击加持</v>
      </c>
      <c r="V3" s="40" t="str">
        <f>_xlfn.CONCAT(熔炼属性池!V$1,熔炼属性池!$A3)</f>
        <v>[鬼狩]攻击加持</v>
      </c>
    </row>
    <row r="4" spans="1:22">
      <c r="A4" s="135" t="s">
        <v>376</v>
      </c>
      <c r="B4" s="235"/>
      <c r="C4" s="235"/>
      <c r="D4" s="235"/>
      <c r="E4" s="235"/>
      <c r="F4" s="235"/>
      <c r="G4" s="40" t="str">
        <f>_xlfn.CONCAT(熔炼属性池!G$1,熔炼属性池!$A4)</f>
        <v>[狂战]武力、智力</v>
      </c>
      <c r="H4" s="40" t="str">
        <f>_xlfn.CONCAT(熔炼属性池!H$1,熔炼属性池!$A4)</f>
        <v>[霸刀]武力、智力</v>
      </c>
      <c r="I4" s="40" t="str">
        <f>_xlfn.CONCAT(熔炼属性池!I$1,熔炼属性池!$A4)</f>
        <v>[武圣]武力、智力</v>
      </c>
      <c r="J4" s="40" t="str">
        <f>_xlfn.CONCAT(熔炼属性池!J$1,熔炼属性池!$A4)</f>
        <v>[魔刃]武力、智力</v>
      </c>
      <c r="K4" s="40" t="str">
        <f>_xlfn.CONCAT(熔炼属性池!K$1,熔炼属性池!$A4)</f>
        <v>[七杀]武力、智力</v>
      </c>
      <c r="L4" s="40" t="str">
        <f>_xlfn.CONCAT(熔炼属性池!L$1,熔炼属性池!$A4)</f>
        <v>[破军]武力、智力</v>
      </c>
      <c r="M4" s="40" t="str">
        <f>_xlfn.CONCAT(熔炼属性池!M$1,熔炼属性池!$A4)</f>
        <v>[霸王]武力、智力</v>
      </c>
      <c r="N4" s="40" t="str">
        <f>_xlfn.CONCAT(熔炼属性池!N$1,熔炼属性池!$A4)</f>
        <v>[贪狼]武力、智力</v>
      </c>
      <c r="O4" s="40" t="str">
        <f>_xlfn.CONCAT(熔炼属性池!O$1,熔炼属性池!$A4)</f>
        <v>[技师]武力、智力</v>
      </c>
      <c r="P4" s="40" t="str">
        <f>_xlfn.CONCAT(熔炼属性池!P$1,熔炼属性池!$A4)</f>
        <v>[天翔]武力、智力</v>
      </c>
      <c r="Q4" s="40" t="str">
        <f>_xlfn.CONCAT(熔炼属性池!Q$1,熔炼属性池!$A4)</f>
        <v>[魔羽]武力、智力</v>
      </c>
      <c r="R4" s="40" t="str">
        <f>_xlfn.CONCAT(熔炼属性池!R$1,熔炼属性池!$A4)</f>
        <v>[影杀]武力、智力</v>
      </c>
      <c r="S4" s="40" t="str">
        <f>_xlfn.CONCAT(熔炼属性池!S$1,熔炼属性池!$A4)</f>
        <v>[术士]武力、智力</v>
      </c>
      <c r="T4" s="40" t="str">
        <f>_xlfn.CONCAT(熔炼属性池!T$1,熔炼属性池!$A4)</f>
        <v>[斗魂]武力、智力</v>
      </c>
      <c r="U4" s="40" t="str">
        <f>_xlfn.CONCAT(熔炼属性池!U$1,熔炼属性池!$A4)</f>
        <v>[幻魔]武力、智力</v>
      </c>
      <c r="V4" s="40" t="str">
        <f>_xlfn.CONCAT(熔炼属性池!V$1,熔炼属性池!$A4)</f>
        <v>[鬼狩]武力、智力</v>
      </c>
    </row>
    <row r="5" spans="1:22">
      <c r="A5" s="135" t="s">
        <v>337</v>
      </c>
      <c r="B5" s="235"/>
      <c r="C5" s="235"/>
      <c r="D5" s="235"/>
      <c r="E5" s="235"/>
      <c r="F5" s="235"/>
      <c r="G5" s="40" t="str">
        <f>_xlfn.CONCAT(熔炼属性池!G$1,熔炼属性池!$A5)</f>
        <v>[狂战]致命伤害</v>
      </c>
      <c r="H5" s="40" t="str">
        <f>_xlfn.CONCAT(熔炼属性池!H$1,熔炼属性池!$A5)</f>
        <v>[霸刀]致命伤害</v>
      </c>
      <c r="I5" s="40" t="str">
        <f>_xlfn.CONCAT(熔炼属性池!I$1,熔炼属性池!$A5)</f>
        <v>[武圣]致命伤害</v>
      </c>
      <c r="J5" s="40" t="str">
        <f>_xlfn.CONCAT(熔炼属性池!J$1,熔炼属性池!$A5)</f>
        <v>[魔刃]致命伤害</v>
      </c>
      <c r="K5" s="40" t="str">
        <f>_xlfn.CONCAT(熔炼属性池!K$1,熔炼属性池!$A5)</f>
        <v>[七杀]致命伤害</v>
      </c>
      <c r="L5" s="40" t="str">
        <f>_xlfn.CONCAT(熔炼属性池!L$1,熔炼属性池!$A5)</f>
        <v>[破军]致命伤害</v>
      </c>
      <c r="M5" s="40" t="str">
        <f>_xlfn.CONCAT(熔炼属性池!M$1,熔炼属性池!$A5)</f>
        <v>[霸王]致命伤害</v>
      </c>
      <c r="N5" s="40" t="str">
        <f>_xlfn.CONCAT(熔炼属性池!N$1,熔炼属性池!$A5)</f>
        <v>[贪狼]致命伤害</v>
      </c>
      <c r="O5" s="40" t="str">
        <f>_xlfn.CONCAT(熔炼属性池!O$1,熔炼属性池!$A5)</f>
        <v>[技师]致命伤害</v>
      </c>
      <c r="P5" s="40" t="str">
        <f>_xlfn.CONCAT(熔炼属性池!P$1,熔炼属性池!$A5)</f>
        <v>[天翔]致命伤害</v>
      </c>
      <c r="Q5" s="40" t="str">
        <f>_xlfn.CONCAT(熔炼属性池!Q$1,熔炼属性池!$A5)</f>
        <v>[魔羽]致命伤害</v>
      </c>
      <c r="R5" s="40" t="str">
        <f>_xlfn.CONCAT(熔炼属性池!R$1,熔炼属性池!$A5)</f>
        <v>[影杀]致命伤害</v>
      </c>
      <c r="S5" s="40" t="str">
        <f>_xlfn.CONCAT(熔炼属性池!S$1,熔炼属性池!$A5)</f>
        <v>[术士]致命伤害</v>
      </c>
      <c r="T5" s="40" t="str">
        <f>_xlfn.CONCAT(熔炼属性池!T$1,熔炼属性池!$A5)</f>
        <v>[斗魂]致命伤害</v>
      </c>
      <c r="U5" s="40" t="str">
        <f>_xlfn.CONCAT(熔炼属性池!U$1,熔炼属性池!$A5)</f>
        <v>[幻魔]致命伤害</v>
      </c>
      <c r="V5" s="40" t="str">
        <f>_xlfn.CONCAT(熔炼属性池!V$1,熔炼属性池!$A5)</f>
        <v>[鬼狩]致命伤害</v>
      </c>
    </row>
    <row r="6" spans="1:22">
      <c r="A6" s="135" t="s">
        <v>341</v>
      </c>
      <c r="B6" s="235"/>
      <c r="C6" s="235"/>
      <c r="D6" s="235"/>
      <c r="E6" s="235"/>
      <c r="F6" s="235"/>
      <c r="G6" s="40" t="str">
        <f>_xlfn.CONCAT(熔炼属性池!G$1,熔炼属性池!$A6)</f>
        <v>[狂战]光属性伤害</v>
      </c>
      <c r="H6" s="40" t="str">
        <f>_xlfn.CONCAT(熔炼属性池!H$1,熔炼属性池!$A6)</f>
        <v>[霸刀]光属性伤害</v>
      </c>
      <c r="I6" s="40" t="str">
        <f>_xlfn.CONCAT(熔炼属性池!I$1,熔炼属性池!$A6)</f>
        <v>[武圣]光属性伤害</v>
      </c>
      <c r="J6" s="40" t="str">
        <f>_xlfn.CONCAT(熔炼属性池!J$1,熔炼属性池!$A6)</f>
        <v>[魔刃]光属性伤害</v>
      </c>
      <c r="K6" s="40" t="str">
        <f>_xlfn.CONCAT(熔炼属性池!K$1,熔炼属性池!$A6)</f>
        <v>[七杀]光属性伤害</v>
      </c>
      <c r="L6" s="40" t="str">
        <f>_xlfn.CONCAT(熔炼属性池!L$1,熔炼属性池!$A6)</f>
        <v>[破军]光属性伤害</v>
      </c>
      <c r="M6" s="40" t="str">
        <f>_xlfn.CONCAT(熔炼属性池!M$1,熔炼属性池!$A6)</f>
        <v>[霸王]光属性伤害</v>
      </c>
      <c r="N6" s="40" t="str">
        <f>_xlfn.CONCAT(熔炼属性池!N$1,熔炼属性池!$A6)</f>
        <v>[贪狼]光属性伤害</v>
      </c>
      <c r="O6" s="40" t="str">
        <f>_xlfn.CONCAT(熔炼属性池!O$1,熔炼属性池!$A6)</f>
        <v>[技师]光属性伤害</v>
      </c>
      <c r="P6" s="40" t="str">
        <f>_xlfn.CONCAT(熔炼属性池!P$1,熔炼属性池!$A6)</f>
        <v>[天翔]光属性伤害</v>
      </c>
      <c r="Q6" s="40" t="str">
        <f>_xlfn.CONCAT(熔炼属性池!Q$1,熔炼属性池!$A6)</f>
        <v>[魔羽]光属性伤害</v>
      </c>
      <c r="R6" s="40" t="str">
        <f>_xlfn.CONCAT(熔炼属性池!R$1,熔炼属性池!$A6)</f>
        <v>[影杀]光属性伤害</v>
      </c>
      <c r="S6" s="40" t="str">
        <f>_xlfn.CONCAT(熔炼属性池!S$1,熔炼属性池!$A6)</f>
        <v>[术士]光属性伤害</v>
      </c>
      <c r="T6" s="40" t="str">
        <f>_xlfn.CONCAT(熔炼属性池!T$1,熔炼属性池!$A6)</f>
        <v>[斗魂]光属性伤害</v>
      </c>
      <c r="U6" s="40" t="str">
        <f>_xlfn.CONCAT(熔炼属性池!U$1,熔炼属性池!$A6)</f>
        <v>[幻魔]光属性伤害</v>
      </c>
      <c r="V6" s="40" t="str">
        <f>_xlfn.CONCAT(熔炼属性池!V$1,熔炼属性池!$A6)</f>
        <v>[鬼狩]光属性伤害</v>
      </c>
    </row>
    <row r="7" spans="1:22">
      <c r="A7" s="135" t="s">
        <v>342</v>
      </c>
      <c r="B7" s="235"/>
      <c r="C7" s="235"/>
      <c r="D7" s="235"/>
      <c r="E7" s="235"/>
      <c r="F7" s="235"/>
      <c r="G7" s="40" t="str">
        <f>_xlfn.CONCAT(熔炼属性池!G$1,熔炼属性池!$A7)</f>
        <v>[狂战]暗属性伤害</v>
      </c>
      <c r="H7" s="40" t="str">
        <f>_xlfn.CONCAT(熔炼属性池!H$1,熔炼属性池!$A7)</f>
        <v>[霸刀]暗属性伤害</v>
      </c>
      <c r="I7" s="40" t="str">
        <f>_xlfn.CONCAT(熔炼属性池!I$1,熔炼属性池!$A7)</f>
        <v>[武圣]暗属性伤害</v>
      </c>
      <c r="J7" s="40" t="str">
        <f>_xlfn.CONCAT(熔炼属性池!J$1,熔炼属性池!$A7)</f>
        <v>[魔刃]暗属性伤害</v>
      </c>
      <c r="K7" s="40" t="str">
        <f>_xlfn.CONCAT(熔炼属性池!K$1,熔炼属性池!$A7)</f>
        <v>[七杀]暗属性伤害</v>
      </c>
      <c r="L7" s="40" t="str">
        <f>_xlfn.CONCAT(熔炼属性池!L$1,熔炼属性池!$A7)</f>
        <v>[破军]暗属性伤害</v>
      </c>
      <c r="M7" s="40" t="str">
        <f>_xlfn.CONCAT(熔炼属性池!M$1,熔炼属性池!$A7)</f>
        <v>[霸王]暗属性伤害</v>
      </c>
      <c r="N7" s="40" t="str">
        <f>_xlfn.CONCAT(熔炼属性池!N$1,熔炼属性池!$A7)</f>
        <v>[贪狼]暗属性伤害</v>
      </c>
      <c r="O7" s="40" t="str">
        <f>_xlfn.CONCAT(熔炼属性池!O$1,熔炼属性池!$A7)</f>
        <v>[技师]暗属性伤害</v>
      </c>
      <c r="P7" s="40" t="str">
        <f>_xlfn.CONCAT(熔炼属性池!P$1,熔炼属性池!$A7)</f>
        <v>[天翔]暗属性伤害</v>
      </c>
      <c r="Q7" s="40" t="str">
        <f>_xlfn.CONCAT(熔炼属性池!Q$1,熔炼属性池!$A7)</f>
        <v>[魔羽]暗属性伤害</v>
      </c>
      <c r="R7" s="40" t="str">
        <f>_xlfn.CONCAT(熔炼属性池!R$1,熔炼属性池!$A7)</f>
        <v>[影杀]暗属性伤害</v>
      </c>
      <c r="S7" s="40" t="str">
        <f>_xlfn.CONCAT(熔炼属性池!S$1,熔炼属性池!$A7)</f>
        <v>[术士]暗属性伤害</v>
      </c>
      <c r="T7" s="40" t="str">
        <f>_xlfn.CONCAT(熔炼属性池!T$1,熔炼属性池!$A7)</f>
        <v>[斗魂]暗属性伤害</v>
      </c>
      <c r="U7" s="40" t="str">
        <f>_xlfn.CONCAT(熔炼属性池!U$1,熔炼属性池!$A7)</f>
        <v>[幻魔]暗属性伤害</v>
      </c>
      <c r="V7" s="40" t="str">
        <f>_xlfn.CONCAT(熔炼属性池!V$1,熔炼属性池!$A7)</f>
        <v>[鬼狩]暗属性伤害</v>
      </c>
    </row>
    <row r="8" spans="1:22">
      <c r="A8" s="135" t="s">
        <v>340</v>
      </c>
      <c r="B8" s="235"/>
      <c r="C8" s="235"/>
      <c r="D8" s="235"/>
      <c r="E8" s="235"/>
      <c r="F8" s="235"/>
      <c r="G8" s="40" t="str">
        <f>_xlfn.CONCAT(熔炼属性池!G$1,熔炼属性池!$A8)</f>
        <v>[狂战]火属性伤害</v>
      </c>
      <c r="H8" s="40" t="str">
        <f>_xlfn.CONCAT(熔炼属性池!H$1,熔炼属性池!$A8)</f>
        <v>[霸刀]火属性伤害</v>
      </c>
      <c r="I8" s="40" t="str">
        <f>_xlfn.CONCAT(熔炼属性池!I$1,熔炼属性池!$A8)</f>
        <v>[武圣]火属性伤害</v>
      </c>
      <c r="J8" s="40" t="str">
        <f>_xlfn.CONCAT(熔炼属性池!J$1,熔炼属性池!$A8)</f>
        <v>[魔刃]火属性伤害</v>
      </c>
      <c r="K8" s="40" t="str">
        <f>_xlfn.CONCAT(熔炼属性池!K$1,熔炼属性池!$A8)</f>
        <v>[七杀]火属性伤害</v>
      </c>
      <c r="L8" s="40" t="str">
        <f>_xlfn.CONCAT(熔炼属性池!L$1,熔炼属性池!$A8)</f>
        <v>[破军]火属性伤害</v>
      </c>
      <c r="M8" s="40" t="str">
        <f>_xlfn.CONCAT(熔炼属性池!M$1,熔炼属性池!$A8)</f>
        <v>[霸王]火属性伤害</v>
      </c>
      <c r="N8" s="40" t="str">
        <f>_xlfn.CONCAT(熔炼属性池!N$1,熔炼属性池!$A8)</f>
        <v>[贪狼]火属性伤害</v>
      </c>
      <c r="O8" s="40" t="str">
        <f>_xlfn.CONCAT(熔炼属性池!O$1,熔炼属性池!$A8)</f>
        <v>[技师]火属性伤害</v>
      </c>
      <c r="P8" s="40" t="str">
        <f>_xlfn.CONCAT(熔炼属性池!P$1,熔炼属性池!$A8)</f>
        <v>[天翔]火属性伤害</v>
      </c>
      <c r="Q8" s="40" t="str">
        <f>_xlfn.CONCAT(熔炼属性池!Q$1,熔炼属性池!$A8)</f>
        <v>[魔羽]火属性伤害</v>
      </c>
      <c r="R8" s="40" t="str">
        <f>_xlfn.CONCAT(熔炼属性池!R$1,熔炼属性池!$A8)</f>
        <v>[影杀]火属性伤害</v>
      </c>
      <c r="S8" s="40" t="str">
        <f>_xlfn.CONCAT(熔炼属性池!S$1,熔炼属性池!$A8)</f>
        <v>[术士]火属性伤害</v>
      </c>
      <c r="T8" s="40" t="str">
        <f>_xlfn.CONCAT(熔炼属性池!T$1,熔炼属性池!$A8)</f>
        <v>[斗魂]火属性伤害</v>
      </c>
      <c r="U8" s="40" t="str">
        <f>_xlfn.CONCAT(熔炼属性池!U$1,熔炼属性池!$A8)</f>
        <v>[幻魔]火属性伤害</v>
      </c>
      <c r="V8" s="40" t="str">
        <f>_xlfn.CONCAT(熔炼属性池!V$1,熔炼属性池!$A8)</f>
        <v>[鬼狩]火属性伤害</v>
      </c>
    </row>
    <row r="9" spans="1:22">
      <c r="A9" s="135" t="s">
        <v>339</v>
      </c>
      <c r="B9" s="235"/>
      <c r="C9" s="235"/>
      <c r="D9" s="235"/>
      <c r="E9" s="235"/>
      <c r="F9" s="235"/>
      <c r="G9" s="40" t="str">
        <f>_xlfn.CONCAT(熔炼属性池!G$1,熔炼属性池!$A9)</f>
        <v>[狂战]水属性伤害</v>
      </c>
      <c r="H9" s="40" t="str">
        <f>_xlfn.CONCAT(熔炼属性池!H$1,熔炼属性池!$A9)</f>
        <v>[霸刀]水属性伤害</v>
      </c>
      <c r="I9" s="40" t="str">
        <f>_xlfn.CONCAT(熔炼属性池!I$1,熔炼属性池!$A9)</f>
        <v>[武圣]水属性伤害</v>
      </c>
      <c r="J9" s="40" t="str">
        <f>_xlfn.CONCAT(熔炼属性池!J$1,熔炼属性池!$A9)</f>
        <v>[魔刃]水属性伤害</v>
      </c>
      <c r="K9" s="40" t="str">
        <f>_xlfn.CONCAT(熔炼属性池!K$1,熔炼属性池!$A9)</f>
        <v>[七杀]水属性伤害</v>
      </c>
      <c r="L9" s="40" t="str">
        <f>_xlfn.CONCAT(熔炼属性池!L$1,熔炼属性池!$A9)</f>
        <v>[破军]水属性伤害</v>
      </c>
      <c r="M9" s="40" t="str">
        <f>_xlfn.CONCAT(熔炼属性池!M$1,熔炼属性池!$A9)</f>
        <v>[霸王]水属性伤害</v>
      </c>
      <c r="N9" s="40" t="str">
        <f>_xlfn.CONCAT(熔炼属性池!N$1,熔炼属性池!$A9)</f>
        <v>[贪狼]水属性伤害</v>
      </c>
      <c r="O9" s="40" t="str">
        <f>_xlfn.CONCAT(熔炼属性池!O$1,熔炼属性池!$A9)</f>
        <v>[技师]水属性伤害</v>
      </c>
      <c r="P9" s="40" t="str">
        <f>_xlfn.CONCAT(熔炼属性池!P$1,熔炼属性池!$A9)</f>
        <v>[天翔]水属性伤害</v>
      </c>
      <c r="Q9" s="40" t="str">
        <f>_xlfn.CONCAT(熔炼属性池!Q$1,熔炼属性池!$A9)</f>
        <v>[魔羽]水属性伤害</v>
      </c>
      <c r="R9" s="40" t="str">
        <f>_xlfn.CONCAT(熔炼属性池!R$1,熔炼属性池!$A9)</f>
        <v>[影杀]水属性伤害</v>
      </c>
      <c r="S9" s="40" t="str">
        <f>_xlfn.CONCAT(熔炼属性池!S$1,熔炼属性池!$A9)</f>
        <v>[术士]水属性伤害</v>
      </c>
      <c r="T9" s="40" t="str">
        <f>_xlfn.CONCAT(熔炼属性池!T$1,熔炼属性池!$A9)</f>
        <v>[斗魂]水属性伤害</v>
      </c>
      <c r="U9" s="40" t="str">
        <f>_xlfn.CONCAT(熔炼属性池!U$1,熔炼属性池!$A9)</f>
        <v>[幻魔]水属性伤害</v>
      </c>
      <c r="V9" s="40" t="str">
        <f>_xlfn.CONCAT(熔炼属性池!V$1,熔炼属性池!$A9)</f>
        <v>[鬼狩]水属性伤害</v>
      </c>
    </row>
    <row r="10" spans="1:22">
      <c r="A10" s="49" t="s">
        <v>349</v>
      </c>
      <c r="B10" s="235"/>
      <c r="C10" s="235"/>
      <c r="D10" s="235"/>
      <c r="E10" s="235"/>
      <c r="F10" s="235"/>
      <c r="G10" s="40" t="str">
        <f>_xlfn.CONCAT(熔炼属性池!G$1,熔炼属性池!$A10)</f>
        <v>[狂战]刚毅</v>
      </c>
      <c r="H10" s="40" t="str">
        <f>_xlfn.CONCAT(熔炼属性池!H$1,熔炼属性池!$A10)</f>
        <v>[霸刀]刚毅</v>
      </c>
      <c r="I10" s="40" t="str">
        <f>_xlfn.CONCAT(熔炼属性池!I$1,熔炼属性池!$A10)</f>
        <v>[武圣]刚毅</v>
      </c>
      <c r="J10" s="40" t="str">
        <f>_xlfn.CONCAT(熔炼属性池!J$1,熔炼属性池!$A10)</f>
        <v>[魔刃]刚毅</v>
      </c>
      <c r="K10" s="40" t="str">
        <f>_xlfn.CONCAT(熔炼属性池!K$1,熔炼属性池!$A10)</f>
        <v>[七杀]刚毅</v>
      </c>
      <c r="L10" s="40" t="str">
        <f>_xlfn.CONCAT(熔炼属性池!L$1,熔炼属性池!$A10)</f>
        <v>[破军]刚毅</v>
      </c>
      <c r="M10" s="40" t="str">
        <f>_xlfn.CONCAT(熔炼属性池!M$1,熔炼属性池!$A10)</f>
        <v>[霸王]刚毅</v>
      </c>
      <c r="N10" s="40" t="str">
        <f>_xlfn.CONCAT(熔炼属性池!N$1,熔炼属性池!$A10)</f>
        <v>[贪狼]刚毅</v>
      </c>
      <c r="O10" s="40" t="str">
        <f>_xlfn.CONCAT(熔炼属性池!O$1,熔炼属性池!$A10)</f>
        <v>[技师]刚毅</v>
      </c>
      <c r="P10" s="40" t="str">
        <f>_xlfn.CONCAT(熔炼属性池!P$1,熔炼属性池!$A10)</f>
        <v>[天翔]刚毅</v>
      </c>
      <c r="Q10" s="40" t="str">
        <f>_xlfn.CONCAT(熔炼属性池!Q$1,熔炼属性池!$A10)</f>
        <v>[魔羽]刚毅</v>
      </c>
      <c r="R10" s="40" t="str">
        <f>_xlfn.CONCAT(熔炼属性池!R$1,熔炼属性池!$A10)</f>
        <v>[影杀]刚毅</v>
      </c>
      <c r="S10" s="40" t="str">
        <f>_xlfn.CONCAT(熔炼属性池!S$1,熔炼属性池!$A10)</f>
        <v>[术士]刚毅</v>
      </c>
      <c r="T10" s="40" t="str">
        <f>_xlfn.CONCAT(熔炼属性池!T$1,熔炼属性池!$A10)</f>
        <v>[斗魂]刚毅</v>
      </c>
      <c r="U10" s="40" t="str">
        <f>_xlfn.CONCAT(熔炼属性池!U$1,熔炼属性池!$A10)</f>
        <v>[幻魔]刚毅</v>
      </c>
      <c r="V10" s="40" t="str">
        <f>_xlfn.CONCAT(熔炼属性池!V$1,熔炼属性池!$A10)</f>
        <v>[鬼狩]刚毅</v>
      </c>
    </row>
    <row r="11" spans="1:22">
      <c r="A11" s="49" t="s">
        <v>351</v>
      </c>
      <c r="B11" s="235"/>
      <c r="C11" s="235"/>
      <c r="D11" s="235"/>
      <c r="E11" s="235"/>
      <c r="F11" s="235"/>
      <c r="G11" s="40" t="str">
        <f>_xlfn.CONCAT(熔炼属性池!G$1,熔炼属性池!$A11)</f>
        <v>[狂战]韧性</v>
      </c>
      <c r="H11" s="40" t="str">
        <f>_xlfn.CONCAT(熔炼属性池!H$1,熔炼属性池!$A11)</f>
        <v>[霸刀]韧性</v>
      </c>
      <c r="I11" s="40" t="str">
        <f>_xlfn.CONCAT(熔炼属性池!I$1,熔炼属性池!$A11)</f>
        <v>[武圣]韧性</v>
      </c>
      <c r="J11" s="40" t="str">
        <f>_xlfn.CONCAT(熔炼属性池!J$1,熔炼属性池!$A11)</f>
        <v>[魔刃]韧性</v>
      </c>
      <c r="K11" s="40" t="str">
        <f>_xlfn.CONCAT(熔炼属性池!K$1,熔炼属性池!$A11)</f>
        <v>[七杀]韧性</v>
      </c>
      <c r="L11" s="40" t="str">
        <f>_xlfn.CONCAT(熔炼属性池!L$1,熔炼属性池!$A11)</f>
        <v>[破军]韧性</v>
      </c>
      <c r="M11" s="40" t="str">
        <f>_xlfn.CONCAT(熔炼属性池!M$1,熔炼属性池!$A11)</f>
        <v>[霸王]韧性</v>
      </c>
      <c r="N11" s="40" t="str">
        <f>_xlfn.CONCAT(熔炼属性池!N$1,熔炼属性池!$A11)</f>
        <v>[贪狼]韧性</v>
      </c>
      <c r="O11" s="40" t="str">
        <f>_xlfn.CONCAT(熔炼属性池!O$1,熔炼属性池!$A11)</f>
        <v>[技师]韧性</v>
      </c>
      <c r="P11" s="40" t="str">
        <f>_xlfn.CONCAT(熔炼属性池!P$1,熔炼属性池!$A11)</f>
        <v>[天翔]韧性</v>
      </c>
      <c r="Q11" s="40" t="str">
        <f>_xlfn.CONCAT(熔炼属性池!Q$1,熔炼属性池!$A11)</f>
        <v>[魔羽]韧性</v>
      </c>
      <c r="R11" s="40" t="str">
        <f>_xlfn.CONCAT(熔炼属性池!R$1,熔炼属性池!$A11)</f>
        <v>[影杀]韧性</v>
      </c>
      <c r="S11" s="40" t="str">
        <f>_xlfn.CONCAT(熔炼属性池!S$1,熔炼属性池!$A11)</f>
        <v>[术士]韧性</v>
      </c>
      <c r="T11" s="40" t="str">
        <f>_xlfn.CONCAT(熔炼属性池!T$1,熔炼属性池!$A11)</f>
        <v>[斗魂]韧性</v>
      </c>
      <c r="U11" s="40" t="str">
        <f>_xlfn.CONCAT(熔炼属性池!U$1,熔炼属性池!$A11)</f>
        <v>[幻魔]韧性</v>
      </c>
      <c r="V11" s="40" t="str">
        <f>_xlfn.CONCAT(熔炼属性池!V$1,熔炼属性池!$A11)</f>
        <v>[鬼狩]韧性</v>
      </c>
    </row>
    <row r="12" spans="1:22">
      <c r="A12" s="49" t="s">
        <v>352</v>
      </c>
      <c r="B12" s="235"/>
      <c r="C12" s="235"/>
      <c r="D12" s="235"/>
      <c r="E12" s="235"/>
      <c r="F12" s="235"/>
      <c r="G12" s="40" t="str">
        <f>_xlfn.CONCAT(熔炼属性池!G$1,熔炼属性池!$A12)</f>
        <v>[狂战]稳固</v>
      </c>
      <c r="H12" s="40" t="str">
        <f>_xlfn.CONCAT(熔炼属性池!H$1,熔炼属性池!$A12)</f>
        <v>[霸刀]稳固</v>
      </c>
      <c r="I12" s="40" t="str">
        <f>_xlfn.CONCAT(熔炼属性池!I$1,熔炼属性池!$A12)</f>
        <v>[武圣]稳固</v>
      </c>
      <c r="J12" s="40" t="str">
        <f>_xlfn.CONCAT(熔炼属性池!J$1,熔炼属性池!$A12)</f>
        <v>[魔刃]稳固</v>
      </c>
      <c r="K12" s="40" t="str">
        <f>_xlfn.CONCAT(熔炼属性池!K$1,熔炼属性池!$A12)</f>
        <v>[七杀]稳固</v>
      </c>
      <c r="L12" s="40" t="str">
        <f>_xlfn.CONCAT(熔炼属性池!L$1,熔炼属性池!$A12)</f>
        <v>[破军]稳固</v>
      </c>
      <c r="M12" s="40" t="str">
        <f>_xlfn.CONCAT(熔炼属性池!M$1,熔炼属性池!$A12)</f>
        <v>[霸王]稳固</v>
      </c>
      <c r="N12" s="40" t="str">
        <f>_xlfn.CONCAT(熔炼属性池!N$1,熔炼属性池!$A12)</f>
        <v>[贪狼]稳固</v>
      </c>
      <c r="O12" s="40" t="str">
        <f>_xlfn.CONCAT(熔炼属性池!O$1,熔炼属性池!$A12)</f>
        <v>[技师]稳固</v>
      </c>
      <c r="P12" s="40" t="str">
        <f>_xlfn.CONCAT(熔炼属性池!P$1,熔炼属性池!$A12)</f>
        <v>[天翔]稳固</v>
      </c>
      <c r="Q12" s="40" t="str">
        <f>_xlfn.CONCAT(熔炼属性池!Q$1,熔炼属性池!$A12)</f>
        <v>[魔羽]稳固</v>
      </c>
      <c r="R12" s="40" t="str">
        <f>_xlfn.CONCAT(熔炼属性池!R$1,熔炼属性池!$A12)</f>
        <v>[影杀]稳固</v>
      </c>
      <c r="S12" s="40" t="str">
        <f>_xlfn.CONCAT(熔炼属性池!S$1,熔炼属性池!$A12)</f>
        <v>[术士]稳固</v>
      </c>
      <c r="T12" s="40" t="str">
        <f>_xlfn.CONCAT(熔炼属性池!T$1,熔炼属性池!$A12)</f>
        <v>[斗魂]稳固</v>
      </c>
      <c r="U12" s="40" t="str">
        <f>_xlfn.CONCAT(熔炼属性池!U$1,熔炼属性池!$A12)</f>
        <v>[幻魔]稳固</v>
      </c>
      <c r="V12" s="40" t="str">
        <f>_xlfn.CONCAT(熔炼属性池!V$1,熔炼属性池!$A12)</f>
        <v>[鬼狩]稳固</v>
      </c>
    </row>
    <row r="13" spans="1:22">
      <c r="A13" s="49" t="s">
        <v>348</v>
      </c>
      <c r="B13" s="235"/>
      <c r="C13" s="235"/>
      <c r="D13" s="235"/>
      <c r="E13" s="235"/>
      <c r="F13" s="235"/>
      <c r="G13" s="40" t="str">
        <f>_xlfn.CONCAT(熔炼属性池!G$1,熔炼属性池!$A13)</f>
        <v>[狂战]格挡</v>
      </c>
      <c r="H13" s="40" t="str">
        <f>_xlfn.CONCAT(熔炼属性池!H$1,熔炼属性池!$A13)</f>
        <v>[霸刀]格挡</v>
      </c>
      <c r="I13" s="40" t="str">
        <f>_xlfn.CONCAT(熔炼属性池!I$1,熔炼属性池!$A13)</f>
        <v>[武圣]格挡</v>
      </c>
      <c r="J13" s="40" t="str">
        <f>_xlfn.CONCAT(熔炼属性池!J$1,熔炼属性池!$A13)</f>
        <v>[魔刃]格挡</v>
      </c>
      <c r="K13" s="40" t="str">
        <f>_xlfn.CONCAT(熔炼属性池!K$1,熔炼属性池!$A13)</f>
        <v>[七杀]格挡</v>
      </c>
      <c r="L13" s="40" t="str">
        <f>_xlfn.CONCAT(熔炼属性池!L$1,熔炼属性池!$A13)</f>
        <v>[破军]格挡</v>
      </c>
      <c r="M13" s="40" t="str">
        <f>_xlfn.CONCAT(熔炼属性池!M$1,熔炼属性池!$A13)</f>
        <v>[霸王]格挡</v>
      </c>
      <c r="N13" s="40" t="str">
        <f>_xlfn.CONCAT(熔炼属性池!N$1,熔炼属性池!$A13)</f>
        <v>[贪狼]格挡</v>
      </c>
      <c r="O13" s="40" t="str">
        <f>_xlfn.CONCAT(熔炼属性池!O$1,熔炼属性池!$A13)</f>
        <v>[技师]格挡</v>
      </c>
      <c r="P13" s="40" t="str">
        <f>_xlfn.CONCAT(熔炼属性池!P$1,熔炼属性池!$A13)</f>
        <v>[天翔]格挡</v>
      </c>
      <c r="Q13" s="40" t="str">
        <f>_xlfn.CONCAT(熔炼属性池!Q$1,熔炼属性池!$A13)</f>
        <v>[魔羽]格挡</v>
      </c>
      <c r="R13" s="40" t="str">
        <f>_xlfn.CONCAT(熔炼属性池!R$1,熔炼属性池!$A13)</f>
        <v>[影杀]格挡</v>
      </c>
      <c r="S13" s="40" t="str">
        <f>_xlfn.CONCAT(熔炼属性池!S$1,熔炼属性池!$A13)</f>
        <v>[术士]格挡</v>
      </c>
      <c r="T13" s="40" t="str">
        <f>_xlfn.CONCAT(熔炼属性池!T$1,熔炼属性池!$A13)</f>
        <v>[斗魂]格挡</v>
      </c>
      <c r="U13" s="40" t="str">
        <f>_xlfn.CONCAT(熔炼属性池!U$1,熔炼属性池!$A13)</f>
        <v>[幻魔]格挡</v>
      </c>
      <c r="V13" s="40" t="str">
        <f>_xlfn.CONCAT(熔炼属性池!V$1,熔炼属性池!$A13)</f>
        <v>[鬼狩]格挡</v>
      </c>
    </row>
    <row r="14" spans="1:22">
      <c r="A14" s="49" t="s">
        <v>350</v>
      </c>
      <c r="B14" s="235"/>
      <c r="C14" s="235"/>
      <c r="D14" s="235"/>
      <c r="E14" s="235"/>
      <c r="F14" s="235"/>
      <c r="G14" s="40" t="str">
        <f>_xlfn.CONCAT(熔炼属性池!G$1,熔炼属性池!$A14)</f>
        <v>[狂战]抵抗</v>
      </c>
      <c r="H14" s="40" t="str">
        <f>_xlfn.CONCAT(熔炼属性池!H$1,熔炼属性池!$A14)</f>
        <v>[霸刀]抵抗</v>
      </c>
      <c r="I14" s="40" t="str">
        <f>_xlfn.CONCAT(熔炼属性池!I$1,熔炼属性池!$A14)</f>
        <v>[武圣]抵抗</v>
      </c>
      <c r="J14" s="40" t="str">
        <f>_xlfn.CONCAT(熔炼属性池!J$1,熔炼属性池!$A14)</f>
        <v>[魔刃]抵抗</v>
      </c>
      <c r="K14" s="40" t="str">
        <f>_xlfn.CONCAT(熔炼属性池!K$1,熔炼属性池!$A14)</f>
        <v>[七杀]抵抗</v>
      </c>
      <c r="L14" s="40" t="str">
        <f>_xlfn.CONCAT(熔炼属性池!L$1,熔炼属性池!$A14)</f>
        <v>[破军]抵抗</v>
      </c>
      <c r="M14" s="40" t="str">
        <f>_xlfn.CONCAT(熔炼属性池!M$1,熔炼属性池!$A14)</f>
        <v>[霸王]抵抗</v>
      </c>
      <c r="N14" s="40" t="str">
        <f>_xlfn.CONCAT(熔炼属性池!N$1,熔炼属性池!$A14)</f>
        <v>[贪狼]抵抗</v>
      </c>
      <c r="O14" s="40" t="str">
        <f>_xlfn.CONCAT(熔炼属性池!O$1,熔炼属性池!$A14)</f>
        <v>[技师]抵抗</v>
      </c>
      <c r="P14" s="40" t="str">
        <f>_xlfn.CONCAT(熔炼属性池!P$1,熔炼属性池!$A14)</f>
        <v>[天翔]抵抗</v>
      </c>
      <c r="Q14" s="40" t="str">
        <f>_xlfn.CONCAT(熔炼属性池!Q$1,熔炼属性池!$A14)</f>
        <v>[魔羽]抵抗</v>
      </c>
      <c r="R14" s="40" t="str">
        <f>_xlfn.CONCAT(熔炼属性池!R$1,熔炼属性池!$A14)</f>
        <v>[影杀]抵抗</v>
      </c>
      <c r="S14" s="40" t="str">
        <f>_xlfn.CONCAT(熔炼属性池!S$1,熔炼属性池!$A14)</f>
        <v>[术士]抵抗</v>
      </c>
      <c r="T14" s="40" t="str">
        <f>_xlfn.CONCAT(熔炼属性池!T$1,熔炼属性池!$A14)</f>
        <v>[斗魂]抵抗</v>
      </c>
      <c r="U14" s="40" t="str">
        <f>_xlfn.CONCAT(熔炼属性池!U$1,熔炼属性池!$A14)</f>
        <v>[幻魔]抵抗</v>
      </c>
      <c r="V14" s="40" t="str">
        <f>_xlfn.CONCAT(熔炼属性池!V$1,熔炼属性池!$A14)</f>
        <v>[鬼狩]抵抗</v>
      </c>
    </row>
    <row r="15" spans="1:22">
      <c r="A15" s="49" t="s">
        <v>377</v>
      </c>
      <c r="B15" s="235"/>
      <c r="C15" s="235"/>
      <c r="D15" s="235"/>
      <c r="E15" s="235"/>
      <c r="F15" s="235"/>
      <c r="G15" s="40" t="str">
        <f>_xlfn.CONCAT(熔炼属性池!G$1,熔炼属性池!$A15)</f>
        <v>[狂战]精准、穿透</v>
      </c>
      <c r="H15" s="40" t="str">
        <f>_xlfn.CONCAT(熔炼属性池!H$1,熔炼属性池!$A15)</f>
        <v>[霸刀]精准、穿透</v>
      </c>
      <c r="I15" s="40" t="str">
        <f>_xlfn.CONCAT(熔炼属性池!I$1,熔炼属性池!$A15)</f>
        <v>[武圣]精准、穿透</v>
      </c>
      <c r="J15" s="40" t="str">
        <f>_xlfn.CONCAT(熔炼属性池!J$1,熔炼属性池!$A15)</f>
        <v>[魔刃]精准、穿透</v>
      </c>
      <c r="K15" s="40" t="str">
        <f>_xlfn.CONCAT(熔炼属性池!K$1,熔炼属性池!$A15)</f>
        <v>[七杀]精准、穿透</v>
      </c>
      <c r="L15" s="40" t="str">
        <f>_xlfn.CONCAT(熔炼属性池!L$1,熔炼属性池!$A15)</f>
        <v>[破军]精准、穿透</v>
      </c>
      <c r="M15" s="40" t="str">
        <f>_xlfn.CONCAT(熔炼属性池!M$1,熔炼属性池!$A15)</f>
        <v>[霸王]精准、穿透</v>
      </c>
      <c r="N15" s="40" t="str">
        <f>_xlfn.CONCAT(熔炼属性池!N$1,熔炼属性池!$A15)</f>
        <v>[贪狼]精准、穿透</v>
      </c>
      <c r="O15" s="40" t="str">
        <f>_xlfn.CONCAT(熔炼属性池!O$1,熔炼属性池!$A15)</f>
        <v>[技师]精准、穿透</v>
      </c>
      <c r="P15" s="40" t="str">
        <f>_xlfn.CONCAT(熔炼属性池!P$1,熔炼属性池!$A15)</f>
        <v>[天翔]精准、穿透</v>
      </c>
      <c r="Q15" s="40" t="str">
        <f>_xlfn.CONCAT(熔炼属性池!Q$1,熔炼属性池!$A15)</f>
        <v>[魔羽]精准、穿透</v>
      </c>
      <c r="R15" s="40" t="str">
        <f>_xlfn.CONCAT(熔炼属性池!R$1,熔炼属性池!$A15)</f>
        <v>[影杀]精准、穿透</v>
      </c>
      <c r="S15" s="40" t="str">
        <f>_xlfn.CONCAT(熔炼属性池!S$1,熔炼属性池!$A15)</f>
        <v>[术士]精准、穿透</v>
      </c>
      <c r="T15" s="40" t="str">
        <f>_xlfn.CONCAT(熔炼属性池!T$1,熔炼属性池!$A15)</f>
        <v>[斗魂]精准、穿透</v>
      </c>
      <c r="U15" s="40" t="str">
        <f>_xlfn.CONCAT(熔炼属性池!U$1,熔炼属性池!$A15)</f>
        <v>[幻魔]精准、穿透</v>
      </c>
      <c r="V15" s="40" t="str">
        <f>_xlfn.CONCAT(熔炼属性池!V$1,熔炼属性池!$A15)</f>
        <v>[鬼狩]精准、穿透</v>
      </c>
    </row>
    <row r="16" spans="1:22">
      <c r="A16" s="49" t="s">
        <v>378</v>
      </c>
      <c r="B16" s="235"/>
      <c r="C16" s="235"/>
      <c r="D16" s="235"/>
      <c r="E16" s="235"/>
      <c r="F16" s="235"/>
      <c r="G16" s="40" t="str">
        <f>_xlfn.CONCAT(熔炼属性池!G$1,熔炼属性池!$A16)</f>
        <v>[狂战]破防、破法</v>
      </c>
      <c r="H16" s="40" t="str">
        <f>_xlfn.CONCAT(熔炼属性池!H$1,熔炼属性池!$A16)</f>
        <v>[霸刀]破防、破法</v>
      </c>
      <c r="I16" s="40" t="str">
        <f>_xlfn.CONCAT(熔炼属性池!I$1,熔炼属性池!$A16)</f>
        <v>[武圣]破防、破法</v>
      </c>
      <c r="J16" s="40" t="str">
        <f>_xlfn.CONCAT(熔炼属性池!J$1,熔炼属性池!$A16)</f>
        <v>[魔刃]破防、破法</v>
      </c>
      <c r="K16" s="40" t="str">
        <f>_xlfn.CONCAT(熔炼属性池!K$1,熔炼属性池!$A16)</f>
        <v>[七杀]破防、破法</v>
      </c>
      <c r="L16" s="40" t="str">
        <f>_xlfn.CONCAT(熔炼属性池!L$1,熔炼属性池!$A16)</f>
        <v>[破军]破防、破法</v>
      </c>
      <c r="M16" s="40" t="str">
        <f>_xlfn.CONCAT(熔炼属性池!M$1,熔炼属性池!$A16)</f>
        <v>[霸王]破防、破法</v>
      </c>
      <c r="N16" s="40" t="str">
        <f>_xlfn.CONCAT(熔炼属性池!N$1,熔炼属性池!$A16)</f>
        <v>[贪狼]破防、破法</v>
      </c>
      <c r="O16" s="40" t="str">
        <f>_xlfn.CONCAT(熔炼属性池!O$1,熔炼属性池!$A16)</f>
        <v>[技师]破防、破法</v>
      </c>
      <c r="P16" s="40" t="str">
        <f>_xlfn.CONCAT(熔炼属性池!P$1,熔炼属性池!$A16)</f>
        <v>[天翔]破防、破法</v>
      </c>
      <c r="Q16" s="40" t="str">
        <f>_xlfn.CONCAT(熔炼属性池!Q$1,熔炼属性池!$A16)</f>
        <v>[魔羽]破防、破法</v>
      </c>
      <c r="R16" s="40" t="str">
        <f>_xlfn.CONCAT(熔炼属性池!R$1,熔炼属性池!$A16)</f>
        <v>[影杀]破防、破法</v>
      </c>
      <c r="S16" s="40" t="str">
        <f>_xlfn.CONCAT(熔炼属性池!S$1,熔炼属性池!$A16)</f>
        <v>[术士]破防、破法</v>
      </c>
      <c r="T16" s="40" t="str">
        <f>_xlfn.CONCAT(熔炼属性池!T$1,熔炼属性池!$A16)</f>
        <v>[斗魂]破防、破法</v>
      </c>
      <c r="U16" s="40" t="str">
        <f>_xlfn.CONCAT(熔炼属性池!U$1,熔炼属性池!$A16)</f>
        <v>[幻魔]破防、破法</v>
      </c>
      <c r="V16" s="40" t="str">
        <f>_xlfn.CONCAT(熔炼属性池!V$1,熔炼属性池!$A16)</f>
        <v>[鬼狩]破防、破法</v>
      </c>
    </row>
    <row r="17" spans="1:22">
      <c r="A17" s="49" t="s">
        <v>345</v>
      </c>
      <c r="B17" s="235"/>
      <c r="C17" s="235"/>
      <c r="D17" s="235"/>
      <c r="E17" s="235"/>
      <c r="F17" s="235"/>
      <c r="G17" s="40" t="str">
        <f>_xlfn.CONCAT(熔炼属性池!G$1,熔炼属性池!$A17)</f>
        <v>[狂战]防御加持</v>
      </c>
      <c r="H17" s="40" t="str">
        <f>_xlfn.CONCAT(熔炼属性池!H$1,熔炼属性池!$A17)</f>
        <v>[霸刀]防御加持</v>
      </c>
      <c r="I17" s="40" t="str">
        <f>_xlfn.CONCAT(熔炼属性池!I$1,熔炼属性池!$A17)</f>
        <v>[武圣]防御加持</v>
      </c>
      <c r="J17" s="40" t="str">
        <f>_xlfn.CONCAT(熔炼属性池!J$1,熔炼属性池!$A17)</f>
        <v>[魔刃]防御加持</v>
      </c>
      <c r="K17" s="40" t="str">
        <f>_xlfn.CONCAT(熔炼属性池!K$1,熔炼属性池!$A17)</f>
        <v>[七杀]防御加持</v>
      </c>
      <c r="L17" s="40" t="str">
        <f>_xlfn.CONCAT(熔炼属性池!L$1,熔炼属性池!$A17)</f>
        <v>[破军]防御加持</v>
      </c>
      <c r="M17" s="40" t="str">
        <f>_xlfn.CONCAT(熔炼属性池!M$1,熔炼属性池!$A17)</f>
        <v>[霸王]防御加持</v>
      </c>
      <c r="N17" s="40" t="str">
        <f>_xlfn.CONCAT(熔炼属性池!N$1,熔炼属性池!$A17)</f>
        <v>[贪狼]防御加持</v>
      </c>
      <c r="O17" s="40" t="str">
        <f>_xlfn.CONCAT(熔炼属性池!O$1,熔炼属性池!$A17)</f>
        <v>[技师]防御加持</v>
      </c>
      <c r="P17" s="40" t="str">
        <f>_xlfn.CONCAT(熔炼属性池!P$1,熔炼属性池!$A17)</f>
        <v>[天翔]防御加持</v>
      </c>
      <c r="Q17" s="40" t="str">
        <f>_xlfn.CONCAT(熔炼属性池!Q$1,熔炼属性池!$A17)</f>
        <v>[魔羽]防御加持</v>
      </c>
      <c r="R17" s="40" t="str">
        <f>_xlfn.CONCAT(熔炼属性池!R$1,熔炼属性池!$A17)</f>
        <v>[影杀]防御加持</v>
      </c>
      <c r="S17" s="40" t="str">
        <f>_xlfn.CONCAT(熔炼属性池!S$1,熔炼属性池!$A17)</f>
        <v>[术士]防御加持</v>
      </c>
      <c r="T17" s="40" t="str">
        <f>_xlfn.CONCAT(熔炼属性池!T$1,熔炼属性池!$A17)</f>
        <v>[斗魂]防御加持</v>
      </c>
      <c r="U17" s="40" t="str">
        <f>_xlfn.CONCAT(熔炼属性池!U$1,熔炼属性池!$A17)</f>
        <v>[幻魔]防御加持</v>
      </c>
      <c r="V17" s="40" t="str">
        <f>_xlfn.CONCAT(熔炼属性池!V$1,熔炼属性池!$A17)</f>
        <v>[鬼狩]防御加持</v>
      </c>
    </row>
    <row r="18" spans="1:22">
      <c r="A18" s="298" t="s">
        <v>379</v>
      </c>
      <c r="B18" s="298" t="s">
        <v>354</v>
      </c>
      <c r="C18" s="298" t="s">
        <v>355</v>
      </c>
      <c r="D18" s="298" t="s">
        <v>356</v>
      </c>
      <c r="E18" s="298" t="s">
        <v>357</v>
      </c>
      <c r="F18" s="298" t="s">
        <v>358</v>
      </c>
      <c r="G18" s="299" t="s">
        <v>359</v>
      </c>
      <c r="H18" s="299" t="s">
        <v>360</v>
      </c>
      <c r="I18" s="299" t="s">
        <v>361</v>
      </c>
      <c r="J18" s="299" t="s">
        <v>362</v>
      </c>
      <c r="K18" s="299" t="s">
        <v>363</v>
      </c>
      <c r="L18" s="299" t="s">
        <v>364</v>
      </c>
      <c r="M18" s="299" t="s">
        <v>365</v>
      </c>
      <c r="N18" s="299" t="s">
        <v>366</v>
      </c>
      <c r="O18" s="299" t="s">
        <v>367</v>
      </c>
      <c r="P18" s="299" t="s">
        <v>368</v>
      </c>
      <c r="Q18" s="299" t="s">
        <v>369</v>
      </c>
      <c r="R18" s="299" t="s">
        <v>370</v>
      </c>
      <c r="S18" s="299" t="s">
        <v>371</v>
      </c>
      <c r="T18" s="299" t="s">
        <v>372</v>
      </c>
      <c r="U18" s="299" t="s">
        <v>373</v>
      </c>
      <c r="V18" s="299" t="s">
        <v>374</v>
      </c>
    </row>
    <row r="19" spans="1:22">
      <c r="A19" s="135" t="s">
        <v>375</v>
      </c>
      <c r="B19" s="235"/>
      <c r="C19" s="235"/>
      <c r="D19" s="235"/>
      <c r="E19" s="235"/>
      <c r="F19" s="235"/>
      <c r="G19" s="40" t="str">
        <f>_xlfn.CONCAT(熔炼属性池!G$1,熔炼属性池!$A19)</f>
        <v>[狂战]物理、法术攻击力</v>
      </c>
      <c r="H19" s="40" t="str">
        <f>_xlfn.CONCAT(熔炼属性池!H$1,熔炼属性池!$A19)</f>
        <v>[霸刀]物理、法术攻击力</v>
      </c>
      <c r="I19" s="40" t="str">
        <f>_xlfn.CONCAT(熔炼属性池!I$1,熔炼属性池!$A19)</f>
        <v>[武圣]物理、法术攻击力</v>
      </c>
      <c r="J19" s="40" t="str">
        <f>_xlfn.CONCAT(熔炼属性池!J$1,熔炼属性池!$A19)</f>
        <v>[魔刃]物理、法术攻击力</v>
      </c>
      <c r="K19" s="40" t="str">
        <f>_xlfn.CONCAT(熔炼属性池!K$1,熔炼属性池!$A19)</f>
        <v>[七杀]物理、法术攻击力</v>
      </c>
      <c r="L19" s="40" t="str">
        <f>_xlfn.CONCAT(熔炼属性池!L$1,熔炼属性池!$A19)</f>
        <v>[破军]物理、法术攻击力</v>
      </c>
      <c r="M19" s="40" t="str">
        <f>_xlfn.CONCAT(熔炼属性池!M$1,熔炼属性池!$A19)</f>
        <v>[霸王]物理、法术攻击力</v>
      </c>
      <c r="N19" s="40" t="str">
        <f>_xlfn.CONCAT(熔炼属性池!N$1,熔炼属性池!$A19)</f>
        <v>[贪狼]物理、法术攻击力</v>
      </c>
      <c r="O19" s="40" t="str">
        <f>_xlfn.CONCAT(熔炼属性池!O$1,熔炼属性池!$A19)</f>
        <v>[技师]物理、法术攻击力</v>
      </c>
      <c r="P19" s="40" t="str">
        <f>_xlfn.CONCAT(熔炼属性池!P$1,熔炼属性池!$A19)</f>
        <v>[天翔]物理、法术攻击力</v>
      </c>
      <c r="Q19" s="40" t="str">
        <f>_xlfn.CONCAT(熔炼属性池!Q$1,熔炼属性池!$A19)</f>
        <v>[魔羽]物理、法术攻击力</v>
      </c>
      <c r="R19" s="40" t="str">
        <f>_xlfn.CONCAT(熔炼属性池!R$1,熔炼属性池!$A19)</f>
        <v>[影杀]物理、法术攻击力</v>
      </c>
      <c r="S19" s="40" t="str">
        <f>_xlfn.CONCAT(熔炼属性池!S$1,熔炼属性池!$A19)</f>
        <v>[术士]物理、法术攻击力</v>
      </c>
      <c r="T19" s="40" t="str">
        <f>_xlfn.CONCAT(熔炼属性池!T$1,熔炼属性池!$A19)</f>
        <v>[斗魂]物理、法术攻击力</v>
      </c>
      <c r="U19" s="40" t="str">
        <f>_xlfn.CONCAT(熔炼属性池!U$1,熔炼属性池!$A19)</f>
        <v>[幻魔]物理、法术攻击力</v>
      </c>
      <c r="V19" s="40" t="str">
        <f>_xlfn.CONCAT(熔炼属性池!V$1,熔炼属性池!$A19)</f>
        <v>[鬼狩]物理、法术攻击力</v>
      </c>
    </row>
    <row r="20" spans="1:22">
      <c r="A20" s="135" t="s">
        <v>343</v>
      </c>
      <c r="B20" s="235"/>
      <c r="C20" s="235"/>
      <c r="D20" s="235"/>
      <c r="E20" s="235"/>
      <c r="F20" s="235"/>
      <c r="G20" s="40" t="str">
        <f>_xlfn.CONCAT(熔炼属性池!G$1,熔炼属性池!$A20)</f>
        <v>[狂战]攻击加持</v>
      </c>
      <c r="H20" s="40" t="str">
        <f>_xlfn.CONCAT(熔炼属性池!H$1,熔炼属性池!$A20)</f>
        <v>[霸刀]攻击加持</v>
      </c>
      <c r="I20" s="40" t="str">
        <f>_xlfn.CONCAT(熔炼属性池!I$1,熔炼属性池!$A20)</f>
        <v>[武圣]攻击加持</v>
      </c>
      <c r="J20" s="40" t="str">
        <f>_xlfn.CONCAT(熔炼属性池!J$1,熔炼属性池!$A20)</f>
        <v>[魔刃]攻击加持</v>
      </c>
      <c r="K20" s="40" t="str">
        <f>_xlfn.CONCAT(熔炼属性池!K$1,熔炼属性池!$A20)</f>
        <v>[七杀]攻击加持</v>
      </c>
      <c r="L20" s="40" t="str">
        <f>_xlfn.CONCAT(熔炼属性池!L$1,熔炼属性池!$A20)</f>
        <v>[破军]攻击加持</v>
      </c>
      <c r="M20" s="40" t="str">
        <f>_xlfn.CONCAT(熔炼属性池!M$1,熔炼属性池!$A20)</f>
        <v>[霸王]攻击加持</v>
      </c>
      <c r="N20" s="40" t="str">
        <f>_xlfn.CONCAT(熔炼属性池!N$1,熔炼属性池!$A20)</f>
        <v>[贪狼]攻击加持</v>
      </c>
      <c r="O20" s="40" t="str">
        <f>_xlfn.CONCAT(熔炼属性池!O$1,熔炼属性池!$A20)</f>
        <v>[技师]攻击加持</v>
      </c>
      <c r="P20" s="40" t="str">
        <f>_xlfn.CONCAT(熔炼属性池!P$1,熔炼属性池!$A20)</f>
        <v>[天翔]攻击加持</v>
      </c>
      <c r="Q20" s="40" t="str">
        <f>_xlfn.CONCAT(熔炼属性池!Q$1,熔炼属性池!$A20)</f>
        <v>[魔羽]攻击加持</v>
      </c>
      <c r="R20" s="40" t="str">
        <f>_xlfn.CONCAT(熔炼属性池!R$1,熔炼属性池!$A20)</f>
        <v>[影杀]攻击加持</v>
      </c>
      <c r="S20" s="40" t="str">
        <f>_xlfn.CONCAT(熔炼属性池!S$1,熔炼属性池!$A20)</f>
        <v>[术士]攻击加持</v>
      </c>
      <c r="T20" s="40" t="str">
        <f>_xlfn.CONCAT(熔炼属性池!T$1,熔炼属性池!$A20)</f>
        <v>[斗魂]攻击加持</v>
      </c>
      <c r="U20" s="40" t="str">
        <f>_xlfn.CONCAT(熔炼属性池!U$1,熔炼属性池!$A20)</f>
        <v>[幻魔]攻击加持</v>
      </c>
      <c r="V20" s="40" t="str">
        <f>_xlfn.CONCAT(熔炼属性池!V$1,熔炼属性池!$A20)</f>
        <v>[鬼狩]攻击加持</v>
      </c>
    </row>
    <row r="21" spans="1:22">
      <c r="A21" s="135" t="s">
        <v>376</v>
      </c>
      <c r="B21" s="235"/>
      <c r="C21" s="235"/>
      <c r="D21" s="235"/>
      <c r="E21" s="235"/>
      <c r="F21" s="235"/>
      <c r="G21" s="40" t="str">
        <f>_xlfn.CONCAT(熔炼属性池!G$1,熔炼属性池!$A21)</f>
        <v>[狂战]武力、智力</v>
      </c>
      <c r="H21" s="40" t="str">
        <f>_xlfn.CONCAT(熔炼属性池!H$1,熔炼属性池!$A21)</f>
        <v>[霸刀]武力、智力</v>
      </c>
      <c r="I21" s="40" t="str">
        <f>_xlfn.CONCAT(熔炼属性池!I$1,熔炼属性池!$A21)</f>
        <v>[武圣]武力、智力</v>
      </c>
      <c r="J21" s="40" t="str">
        <f>_xlfn.CONCAT(熔炼属性池!J$1,熔炼属性池!$A21)</f>
        <v>[魔刃]武力、智力</v>
      </c>
      <c r="K21" s="40" t="str">
        <f>_xlfn.CONCAT(熔炼属性池!K$1,熔炼属性池!$A21)</f>
        <v>[七杀]武力、智力</v>
      </c>
      <c r="L21" s="40" t="str">
        <f>_xlfn.CONCAT(熔炼属性池!L$1,熔炼属性池!$A21)</f>
        <v>[破军]武力、智力</v>
      </c>
      <c r="M21" s="40" t="str">
        <f>_xlfn.CONCAT(熔炼属性池!M$1,熔炼属性池!$A21)</f>
        <v>[霸王]武力、智力</v>
      </c>
      <c r="N21" s="40" t="str">
        <f>_xlfn.CONCAT(熔炼属性池!N$1,熔炼属性池!$A21)</f>
        <v>[贪狼]武力、智力</v>
      </c>
      <c r="O21" s="40" t="str">
        <f>_xlfn.CONCAT(熔炼属性池!O$1,熔炼属性池!$A21)</f>
        <v>[技师]武力、智力</v>
      </c>
      <c r="P21" s="40" t="str">
        <f>_xlfn.CONCAT(熔炼属性池!P$1,熔炼属性池!$A21)</f>
        <v>[天翔]武力、智力</v>
      </c>
      <c r="Q21" s="40" t="str">
        <f>_xlfn.CONCAT(熔炼属性池!Q$1,熔炼属性池!$A21)</f>
        <v>[魔羽]武力、智力</v>
      </c>
      <c r="R21" s="40" t="str">
        <f>_xlfn.CONCAT(熔炼属性池!R$1,熔炼属性池!$A21)</f>
        <v>[影杀]武力、智力</v>
      </c>
      <c r="S21" s="40" t="str">
        <f>_xlfn.CONCAT(熔炼属性池!S$1,熔炼属性池!$A21)</f>
        <v>[术士]武力、智力</v>
      </c>
      <c r="T21" s="40" t="str">
        <f>_xlfn.CONCAT(熔炼属性池!T$1,熔炼属性池!$A21)</f>
        <v>[斗魂]武力、智力</v>
      </c>
      <c r="U21" s="40" t="str">
        <f>_xlfn.CONCAT(熔炼属性池!U$1,熔炼属性池!$A21)</f>
        <v>[幻魔]武力、智力</v>
      </c>
      <c r="V21" s="40" t="str">
        <f>_xlfn.CONCAT(熔炼属性池!V$1,熔炼属性池!$A21)</f>
        <v>[鬼狩]武力、智力</v>
      </c>
    </row>
    <row r="22" spans="1:22">
      <c r="A22" s="135" t="s">
        <v>337</v>
      </c>
      <c r="B22" s="235"/>
      <c r="C22" s="235"/>
      <c r="D22" s="235"/>
      <c r="E22" s="235"/>
      <c r="F22" s="235"/>
      <c r="G22" s="40" t="str">
        <f>_xlfn.CONCAT(熔炼属性池!G$1,熔炼属性池!$A22)</f>
        <v>[狂战]致命伤害</v>
      </c>
      <c r="H22" s="40" t="str">
        <f>_xlfn.CONCAT(熔炼属性池!H$1,熔炼属性池!$A22)</f>
        <v>[霸刀]致命伤害</v>
      </c>
      <c r="I22" s="40" t="str">
        <f>_xlfn.CONCAT(熔炼属性池!I$1,熔炼属性池!$A22)</f>
        <v>[武圣]致命伤害</v>
      </c>
      <c r="J22" s="40" t="str">
        <f>_xlfn.CONCAT(熔炼属性池!J$1,熔炼属性池!$A22)</f>
        <v>[魔刃]致命伤害</v>
      </c>
      <c r="K22" s="40" t="str">
        <f>_xlfn.CONCAT(熔炼属性池!K$1,熔炼属性池!$A22)</f>
        <v>[七杀]致命伤害</v>
      </c>
      <c r="L22" s="40" t="str">
        <f>_xlfn.CONCAT(熔炼属性池!L$1,熔炼属性池!$A22)</f>
        <v>[破军]致命伤害</v>
      </c>
      <c r="M22" s="40" t="str">
        <f>_xlfn.CONCAT(熔炼属性池!M$1,熔炼属性池!$A22)</f>
        <v>[霸王]致命伤害</v>
      </c>
      <c r="N22" s="40" t="str">
        <f>_xlfn.CONCAT(熔炼属性池!N$1,熔炼属性池!$A22)</f>
        <v>[贪狼]致命伤害</v>
      </c>
      <c r="O22" s="40" t="str">
        <f>_xlfn.CONCAT(熔炼属性池!O$1,熔炼属性池!$A22)</f>
        <v>[技师]致命伤害</v>
      </c>
      <c r="P22" s="40" t="str">
        <f>_xlfn.CONCAT(熔炼属性池!P$1,熔炼属性池!$A22)</f>
        <v>[天翔]致命伤害</v>
      </c>
      <c r="Q22" s="40" t="str">
        <f>_xlfn.CONCAT(熔炼属性池!Q$1,熔炼属性池!$A22)</f>
        <v>[魔羽]致命伤害</v>
      </c>
      <c r="R22" s="40" t="str">
        <f>_xlfn.CONCAT(熔炼属性池!R$1,熔炼属性池!$A22)</f>
        <v>[影杀]致命伤害</v>
      </c>
      <c r="S22" s="40" t="str">
        <f>_xlfn.CONCAT(熔炼属性池!S$1,熔炼属性池!$A22)</f>
        <v>[术士]致命伤害</v>
      </c>
      <c r="T22" s="40" t="str">
        <f>_xlfn.CONCAT(熔炼属性池!T$1,熔炼属性池!$A22)</f>
        <v>[斗魂]致命伤害</v>
      </c>
      <c r="U22" s="40" t="str">
        <f>_xlfn.CONCAT(熔炼属性池!U$1,熔炼属性池!$A22)</f>
        <v>[幻魔]致命伤害</v>
      </c>
      <c r="V22" s="40" t="str">
        <f>_xlfn.CONCAT(熔炼属性池!V$1,熔炼属性池!$A22)</f>
        <v>[鬼狩]致命伤害</v>
      </c>
    </row>
    <row r="23" spans="1:22">
      <c r="A23" s="135" t="s">
        <v>341</v>
      </c>
      <c r="B23" s="235"/>
      <c r="C23" s="235"/>
      <c r="D23" s="235"/>
      <c r="E23" s="235"/>
      <c r="F23" s="235"/>
      <c r="G23" s="40" t="str">
        <f>_xlfn.CONCAT(熔炼属性池!G$1,熔炼属性池!$A23)</f>
        <v>[狂战]光属性伤害</v>
      </c>
      <c r="H23" s="40" t="str">
        <f>_xlfn.CONCAT(熔炼属性池!H$1,熔炼属性池!$A23)</f>
        <v>[霸刀]光属性伤害</v>
      </c>
      <c r="I23" s="40" t="str">
        <f>_xlfn.CONCAT(熔炼属性池!I$1,熔炼属性池!$A23)</f>
        <v>[武圣]光属性伤害</v>
      </c>
      <c r="J23" s="40" t="str">
        <f>_xlfn.CONCAT(熔炼属性池!J$1,熔炼属性池!$A23)</f>
        <v>[魔刃]光属性伤害</v>
      </c>
      <c r="K23" s="40" t="str">
        <f>_xlfn.CONCAT(熔炼属性池!K$1,熔炼属性池!$A23)</f>
        <v>[七杀]光属性伤害</v>
      </c>
      <c r="L23" s="40" t="str">
        <f>_xlfn.CONCAT(熔炼属性池!L$1,熔炼属性池!$A23)</f>
        <v>[破军]光属性伤害</v>
      </c>
      <c r="M23" s="40" t="str">
        <f>_xlfn.CONCAT(熔炼属性池!M$1,熔炼属性池!$A23)</f>
        <v>[霸王]光属性伤害</v>
      </c>
      <c r="N23" s="40" t="str">
        <f>_xlfn.CONCAT(熔炼属性池!N$1,熔炼属性池!$A23)</f>
        <v>[贪狼]光属性伤害</v>
      </c>
      <c r="O23" s="40" t="str">
        <f>_xlfn.CONCAT(熔炼属性池!O$1,熔炼属性池!$A23)</f>
        <v>[技师]光属性伤害</v>
      </c>
      <c r="P23" s="40" t="str">
        <f>_xlfn.CONCAT(熔炼属性池!P$1,熔炼属性池!$A23)</f>
        <v>[天翔]光属性伤害</v>
      </c>
      <c r="Q23" s="40" t="str">
        <f>_xlfn.CONCAT(熔炼属性池!Q$1,熔炼属性池!$A23)</f>
        <v>[魔羽]光属性伤害</v>
      </c>
      <c r="R23" s="40" t="str">
        <f>_xlfn.CONCAT(熔炼属性池!R$1,熔炼属性池!$A23)</f>
        <v>[影杀]光属性伤害</v>
      </c>
      <c r="S23" s="40" t="str">
        <f>_xlfn.CONCAT(熔炼属性池!S$1,熔炼属性池!$A23)</f>
        <v>[术士]光属性伤害</v>
      </c>
      <c r="T23" s="40" t="str">
        <f>_xlfn.CONCAT(熔炼属性池!T$1,熔炼属性池!$A23)</f>
        <v>[斗魂]光属性伤害</v>
      </c>
      <c r="U23" s="40" t="str">
        <f>_xlfn.CONCAT(熔炼属性池!U$1,熔炼属性池!$A23)</f>
        <v>[幻魔]光属性伤害</v>
      </c>
      <c r="V23" s="40" t="str">
        <f>_xlfn.CONCAT(熔炼属性池!V$1,熔炼属性池!$A23)</f>
        <v>[鬼狩]光属性伤害</v>
      </c>
    </row>
    <row r="24" spans="1:22">
      <c r="A24" s="135" t="s">
        <v>342</v>
      </c>
      <c r="B24" s="235"/>
      <c r="C24" s="235"/>
      <c r="D24" s="235"/>
      <c r="E24" s="235"/>
      <c r="F24" s="235"/>
      <c r="G24" s="40" t="str">
        <f>_xlfn.CONCAT(熔炼属性池!G$1,熔炼属性池!$A24)</f>
        <v>[狂战]暗属性伤害</v>
      </c>
      <c r="H24" s="40" t="str">
        <f>_xlfn.CONCAT(熔炼属性池!H$1,熔炼属性池!$A24)</f>
        <v>[霸刀]暗属性伤害</v>
      </c>
      <c r="I24" s="40" t="str">
        <f>_xlfn.CONCAT(熔炼属性池!I$1,熔炼属性池!$A24)</f>
        <v>[武圣]暗属性伤害</v>
      </c>
      <c r="J24" s="40" t="str">
        <f>_xlfn.CONCAT(熔炼属性池!J$1,熔炼属性池!$A24)</f>
        <v>[魔刃]暗属性伤害</v>
      </c>
      <c r="K24" s="40" t="str">
        <f>_xlfn.CONCAT(熔炼属性池!K$1,熔炼属性池!$A24)</f>
        <v>[七杀]暗属性伤害</v>
      </c>
      <c r="L24" s="40" t="str">
        <f>_xlfn.CONCAT(熔炼属性池!L$1,熔炼属性池!$A24)</f>
        <v>[破军]暗属性伤害</v>
      </c>
      <c r="M24" s="40" t="str">
        <f>_xlfn.CONCAT(熔炼属性池!M$1,熔炼属性池!$A24)</f>
        <v>[霸王]暗属性伤害</v>
      </c>
      <c r="N24" s="40" t="str">
        <f>_xlfn.CONCAT(熔炼属性池!N$1,熔炼属性池!$A24)</f>
        <v>[贪狼]暗属性伤害</v>
      </c>
      <c r="O24" s="40" t="str">
        <f>_xlfn.CONCAT(熔炼属性池!O$1,熔炼属性池!$A24)</f>
        <v>[技师]暗属性伤害</v>
      </c>
      <c r="P24" s="40" t="str">
        <f>_xlfn.CONCAT(熔炼属性池!P$1,熔炼属性池!$A24)</f>
        <v>[天翔]暗属性伤害</v>
      </c>
      <c r="Q24" s="40" t="str">
        <f>_xlfn.CONCAT(熔炼属性池!Q$1,熔炼属性池!$A24)</f>
        <v>[魔羽]暗属性伤害</v>
      </c>
      <c r="R24" s="40" t="str">
        <f>_xlfn.CONCAT(熔炼属性池!R$1,熔炼属性池!$A24)</f>
        <v>[影杀]暗属性伤害</v>
      </c>
      <c r="S24" s="40" t="str">
        <f>_xlfn.CONCAT(熔炼属性池!S$1,熔炼属性池!$A24)</f>
        <v>[术士]暗属性伤害</v>
      </c>
      <c r="T24" s="40" t="str">
        <f>_xlfn.CONCAT(熔炼属性池!T$1,熔炼属性池!$A24)</f>
        <v>[斗魂]暗属性伤害</v>
      </c>
      <c r="U24" s="40" t="str">
        <f>_xlfn.CONCAT(熔炼属性池!U$1,熔炼属性池!$A24)</f>
        <v>[幻魔]暗属性伤害</v>
      </c>
      <c r="V24" s="40" t="str">
        <f>_xlfn.CONCAT(熔炼属性池!V$1,熔炼属性池!$A24)</f>
        <v>[鬼狩]暗属性伤害</v>
      </c>
    </row>
    <row r="25" spans="1:22">
      <c r="A25" s="135" t="s">
        <v>340</v>
      </c>
      <c r="B25" s="235"/>
      <c r="C25" s="235"/>
      <c r="D25" s="235"/>
      <c r="E25" s="235"/>
      <c r="F25" s="235"/>
      <c r="G25" s="40" t="str">
        <f>_xlfn.CONCAT(熔炼属性池!G$1,熔炼属性池!$A25)</f>
        <v>[狂战]火属性伤害</v>
      </c>
      <c r="H25" s="40" t="str">
        <f>_xlfn.CONCAT(熔炼属性池!H$1,熔炼属性池!$A25)</f>
        <v>[霸刀]火属性伤害</v>
      </c>
      <c r="I25" s="40" t="str">
        <f>_xlfn.CONCAT(熔炼属性池!I$1,熔炼属性池!$A25)</f>
        <v>[武圣]火属性伤害</v>
      </c>
      <c r="J25" s="40" t="str">
        <f>_xlfn.CONCAT(熔炼属性池!J$1,熔炼属性池!$A25)</f>
        <v>[魔刃]火属性伤害</v>
      </c>
      <c r="K25" s="40" t="str">
        <f>_xlfn.CONCAT(熔炼属性池!K$1,熔炼属性池!$A25)</f>
        <v>[七杀]火属性伤害</v>
      </c>
      <c r="L25" s="40" t="str">
        <f>_xlfn.CONCAT(熔炼属性池!L$1,熔炼属性池!$A25)</f>
        <v>[破军]火属性伤害</v>
      </c>
      <c r="M25" s="40" t="str">
        <f>_xlfn.CONCAT(熔炼属性池!M$1,熔炼属性池!$A25)</f>
        <v>[霸王]火属性伤害</v>
      </c>
      <c r="N25" s="40" t="str">
        <f>_xlfn.CONCAT(熔炼属性池!N$1,熔炼属性池!$A25)</f>
        <v>[贪狼]火属性伤害</v>
      </c>
      <c r="O25" s="40" t="str">
        <f>_xlfn.CONCAT(熔炼属性池!O$1,熔炼属性池!$A25)</f>
        <v>[技师]火属性伤害</v>
      </c>
      <c r="P25" s="40" t="str">
        <f>_xlfn.CONCAT(熔炼属性池!P$1,熔炼属性池!$A25)</f>
        <v>[天翔]火属性伤害</v>
      </c>
      <c r="Q25" s="40" t="str">
        <f>_xlfn.CONCAT(熔炼属性池!Q$1,熔炼属性池!$A25)</f>
        <v>[魔羽]火属性伤害</v>
      </c>
      <c r="R25" s="40" t="str">
        <f>_xlfn.CONCAT(熔炼属性池!R$1,熔炼属性池!$A25)</f>
        <v>[影杀]火属性伤害</v>
      </c>
      <c r="S25" s="40" t="str">
        <f>_xlfn.CONCAT(熔炼属性池!S$1,熔炼属性池!$A25)</f>
        <v>[术士]火属性伤害</v>
      </c>
      <c r="T25" s="40" t="str">
        <f>_xlfn.CONCAT(熔炼属性池!T$1,熔炼属性池!$A25)</f>
        <v>[斗魂]火属性伤害</v>
      </c>
      <c r="U25" s="40" t="str">
        <f>_xlfn.CONCAT(熔炼属性池!U$1,熔炼属性池!$A25)</f>
        <v>[幻魔]火属性伤害</v>
      </c>
      <c r="V25" s="40" t="str">
        <f>_xlfn.CONCAT(熔炼属性池!V$1,熔炼属性池!$A25)</f>
        <v>[鬼狩]火属性伤害</v>
      </c>
    </row>
    <row r="26" spans="1:22">
      <c r="A26" s="135" t="s">
        <v>339</v>
      </c>
      <c r="B26" s="235"/>
      <c r="C26" s="235"/>
      <c r="D26" s="235"/>
      <c r="E26" s="235"/>
      <c r="F26" s="235"/>
      <c r="G26" s="40" t="str">
        <f>_xlfn.CONCAT(熔炼属性池!G$1,熔炼属性池!$A26)</f>
        <v>[狂战]水属性伤害</v>
      </c>
      <c r="H26" s="40" t="str">
        <f>_xlfn.CONCAT(熔炼属性池!H$1,熔炼属性池!$A26)</f>
        <v>[霸刀]水属性伤害</v>
      </c>
      <c r="I26" s="40" t="str">
        <f>_xlfn.CONCAT(熔炼属性池!I$1,熔炼属性池!$A26)</f>
        <v>[武圣]水属性伤害</v>
      </c>
      <c r="J26" s="40" t="str">
        <f>_xlfn.CONCAT(熔炼属性池!J$1,熔炼属性池!$A26)</f>
        <v>[魔刃]水属性伤害</v>
      </c>
      <c r="K26" s="40" t="str">
        <f>_xlfn.CONCAT(熔炼属性池!K$1,熔炼属性池!$A26)</f>
        <v>[七杀]水属性伤害</v>
      </c>
      <c r="L26" s="40" t="str">
        <f>_xlfn.CONCAT(熔炼属性池!L$1,熔炼属性池!$A26)</f>
        <v>[破军]水属性伤害</v>
      </c>
      <c r="M26" s="40" t="str">
        <f>_xlfn.CONCAT(熔炼属性池!M$1,熔炼属性池!$A26)</f>
        <v>[霸王]水属性伤害</v>
      </c>
      <c r="N26" s="40" t="str">
        <f>_xlfn.CONCAT(熔炼属性池!N$1,熔炼属性池!$A26)</f>
        <v>[贪狼]水属性伤害</v>
      </c>
      <c r="O26" s="40" t="str">
        <f>_xlfn.CONCAT(熔炼属性池!O$1,熔炼属性池!$A26)</f>
        <v>[技师]水属性伤害</v>
      </c>
      <c r="P26" s="40" t="str">
        <f>_xlfn.CONCAT(熔炼属性池!P$1,熔炼属性池!$A26)</f>
        <v>[天翔]水属性伤害</v>
      </c>
      <c r="Q26" s="40" t="str">
        <f>_xlfn.CONCAT(熔炼属性池!Q$1,熔炼属性池!$A26)</f>
        <v>[魔羽]水属性伤害</v>
      </c>
      <c r="R26" s="40" t="str">
        <f>_xlfn.CONCAT(熔炼属性池!R$1,熔炼属性池!$A26)</f>
        <v>[影杀]水属性伤害</v>
      </c>
      <c r="S26" s="40" t="str">
        <f>_xlfn.CONCAT(熔炼属性池!S$1,熔炼属性池!$A26)</f>
        <v>[术士]水属性伤害</v>
      </c>
      <c r="T26" s="40" t="str">
        <f>_xlfn.CONCAT(熔炼属性池!T$1,熔炼属性池!$A26)</f>
        <v>[斗魂]水属性伤害</v>
      </c>
      <c r="U26" s="40" t="str">
        <f>_xlfn.CONCAT(熔炼属性池!U$1,熔炼属性池!$A26)</f>
        <v>[幻魔]水属性伤害</v>
      </c>
      <c r="V26" s="40" t="str">
        <f>_xlfn.CONCAT(熔炼属性池!V$1,熔炼属性池!$A26)</f>
        <v>[鬼狩]水属性伤害</v>
      </c>
    </row>
    <row r="27" spans="1:22">
      <c r="A27" s="49" t="s">
        <v>349</v>
      </c>
      <c r="B27" s="235"/>
      <c r="C27" s="235"/>
      <c r="D27" s="235"/>
      <c r="E27" s="235"/>
      <c r="F27" s="235"/>
      <c r="G27" s="40" t="str">
        <f>_xlfn.CONCAT(熔炼属性池!G$1,熔炼属性池!$A27)</f>
        <v>[狂战]刚毅</v>
      </c>
      <c r="H27" s="40" t="str">
        <f>_xlfn.CONCAT(熔炼属性池!H$1,熔炼属性池!$A27)</f>
        <v>[霸刀]刚毅</v>
      </c>
      <c r="I27" s="40" t="str">
        <f>_xlfn.CONCAT(熔炼属性池!I$1,熔炼属性池!$A27)</f>
        <v>[武圣]刚毅</v>
      </c>
      <c r="J27" s="40" t="str">
        <f>_xlfn.CONCAT(熔炼属性池!J$1,熔炼属性池!$A27)</f>
        <v>[魔刃]刚毅</v>
      </c>
      <c r="K27" s="40" t="str">
        <f>_xlfn.CONCAT(熔炼属性池!K$1,熔炼属性池!$A27)</f>
        <v>[七杀]刚毅</v>
      </c>
      <c r="L27" s="40" t="str">
        <f>_xlfn.CONCAT(熔炼属性池!L$1,熔炼属性池!$A27)</f>
        <v>[破军]刚毅</v>
      </c>
      <c r="M27" s="40" t="str">
        <f>_xlfn.CONCAT(熔炼属性池!M$1,熔炼属性池!$A27)</f>
        <v>[霸王]刚毅</v>
      </c>
      <c r="N27" s="40" t="str">
        <f>_xlfn.CONCAT(熔炼属性池!N$1,熔炼属性池!$A27)</f>
        <v>[贪狼]刚毅</v>
      </c>
      <c r="O27" s="40" t="str">
        <f>_xlfn.CONCAT(熔炼属性池!O$1,熔炼属性池!$A27)</f>
        <v>[技师]刚毅</v>
      </c>
      <c r="P27" s="40" t="str">
        <f>_xlfn.CONCAT(熔炼属性池!P$1,熔炼属性池!$A27)</f>
        <v>[天翔]刚毅</v>
      </c>
      <c r="Q27" s="40" t="str">
        <f>_xlfn.CONCAT(熔炼属性池!Q$1,熔炼属性池!$A27)</f>
        <v>[魔羽]刚毅</v>
      </c>
      <c r="R27" s="40" t="str">
        <f>_xlfn.CONCAT(熔炼属性池!R$1,熔炼属性池!$A27)</f>
        <v>[影杀]刚毅</v>
      </c>
      <c r="S27" s="40" t="str">
        <f>_xlfn.CONCAT(熔炼属性池!S$1,熔炼属性池!$A27)</f>
        <v>[术士]刚毅</v>
      </c>
      <c r="T27" s="40" t="str">
        <f>_xlfn.CONCAT(熔炼属性池!T$1,熔炼属性池!$A27)</f>
        <v>[斗魂]刚毅</v>
      </c>
      <c r="U27" s="40" t="str">
        <f>_xlfn.CONCAT(熔炼属性池!U$1,熔炼属性池!$A27)</f>
        <v>[幻魔]刚毅</v>
      </c>
      <c r="V27" s="40" t="str">
        <f>_xlfn.CONCAT(熔炼属性池!V$1,熔炼属性池!$A27)</f>
        <v>[鬼狩]刚毅</v>
      </c>
    </row>
    <row r="28" spans="1:22">
      <c r="A28" s="49" t="s">
        <v>351</v>
      </c>
      <c r="B28" s="235"/>
      <c r="C28" s="235"/>
      <c r="D28" s="235"/>
      <c r="E28" s="235"/>
      <c r="F28" s="235"/>
      <c r="G28" s="40" t="str">
        <f>_xlfn.CONCAT(熔炼属性池!G$1,熔炼属性池!$A28)</f>
        <v>[狂战]韧性</v>
      </c>
      <c r="H28" s="40" t="str">
        <f>_xlfn.CONCAT(熔炼属性池!H$1,熔炼属性池!$A28)</f>
        <v>[霸刀]韧性</v>
      </c>
      <c r="I28" s="40" t="str">
        <f>_xlfn.CONCAT(熔炼属性池!I$1,熔炼属性池!$A28)</f>
        <v>[武圣]韧性</v>
      </c>
      <c r="J28" s="40" t="str">
        <f>_xlfn.CONCAT(熔炼属性池!J$1,熔炼属性池!$A28)</f>
        <v>[魔刃]韧性</v>
      </c>
      <c r="K28" s="40" t="str">
        <f>_xlfn.CONCAT(熔炼属性池!K$1,熔炼属性池!$A28)</f>
        <v>[七杀]韧性</v>
      </c>
      <c r="L28" s="40" t="str">
        <f>_xlfn.CONCAT(熔炼属性池!L$1,熔炼属性池!$A28)</f>
        <v>[破军]韧性</v>
      </c>
      <c r="M28" s="40" t="str">
        <f>_xlfn.CONCAT(熔炼属性池!M$1,熔炼属性池!$A28)</f>
        <v>[霸王]韧性</v>
      </c>
      <c r="N28" s="40" t="str">
        <f>_xlfn.CONCAT(熔炼属性池!N$1,熔炼属性池!$A28)</f>
        <v>[贪狼]韧性</v>
      </c>
      <c r="O28" s="40" t="str">
        <f>_xlfn.CONCAT(熔炼属性池!O$1,熔炼属性池!$A28)</f>
        <v>[技师]韧性</v>
      </c>
      <c r="P28" s="40" t="str">
        <f>_xlfn.CONCAT(熔炼属性池!P$1,熔炼属性池!$A28)</f>
        <v>[天翔]韧性</v>
      </c>
      <c r="Q28" s="40" t="str">
        <f>_xlfn.CONCAT(熔炼属性池!Q$1,熔炼属性池!$A28)</f>
        <v>[魔羽]韧性</v>
      </c>
      <c r="R28" s="40" t="str">
        <f>_xlfn.CONCAT(熔炼属性池!R$1,熔炼属性池!$A28)</f>
        <v>[影杀]韧性</v>
      </c>
      <c r="S28" s="40" t="str">
        <f>_xlfn.CONCAT(熔炼属性池!S$1,熔炼属性池!$A28)</f>
        <v>[术士]韧性</v>
      </c>
      <c r="T28" s="40" t="str">
        <f>_xlfn.CONCAT(熔炼属性池!T$1,熔炼属性池!$A28)</f>
        <v>[斗魂]韧性</v>
      </c>
      <c r="U28" s="40" t="str">
        <f>_xlfn.CONCAT(熔炼属性池!U$1,熔炼属性池!$A28)</f>
        <v>[幻魔]韧性</v>
      </c>
      <c r="V28" s="40" t="str">
        <f>_xlfn.CONCAT(熔炼属性池!V$1,熔炼属性池!$A28)</f>
        <v>[鬼狩]韧性</v>
      </c>
    </row>
    <row r="29" spans="1:22">
      <c r="A29" s="49" t="s">
        <v>352</v>
      </c>
      <c r="B29" s="235"/>
      <c r="C29" s="235"/>
      <c r="D29" s="235"/>
      <c r="E29" s="235"/>
      <c r="F29" s="235"/>
      <c r="G29" s="40" t="str">
        <f>_xlfn.CONCAT(熔炼属性池!G$1,熔炼属性池!$A29)</f>
        <v>[狂战]稳固</v>
      </c>
      <c r="H29" s="40" t="str">
        <f>_xlfn.CONCAT(熔炼属性池!H$1,熔炼属性池!$A29)</f>
        <v>[霸刀]稳固</v>
      </c>
      <c r="I29" s="40" t="str">
        <f>_xlfn.CONCAT(熔炼属性池!I$1,熔炼属性池!$A29)</f>
        <v>[武圣]稳固</v>
      </c>
      <c r="J29" s="40" t="str">
        <f>_xlfn.CONCAT(熔炼属性池!J$1,熔炼属性池!$A29)</f>
        <v>[魔刃]稳固</v>
      </c>
      <c r="K29" s="40" t="str">
        <f>_xlfn.CONCAT(熔炼属性池!K$1,熔炼属性池!$A29)</f>
        <v>[七杀]稳固</v>
      </c>
      <c r="L29" s="40" t="str">
        <f>_xlfn.CONCAT(熔炼属性池!L$1,熔炼属性池!$A29)</f>
        <v>[破军]稳固</v>
      </c>
      <c r="M29" s="40" t="str">
        <f>_xlfn.CONCAT(熔炼属性池!M$1,熔炼属性池!$A29)</f>
        <v>[霸王]稳固</v>
      </c>
      <c r="N29" s="40" t="str">
        <f>_xlfn.CONCAT(熔炼属性池!N$1,熔炼属性池!$A29)</f>
        <v>[贪狼]稳固</v>
      </c>
      <c r="O29" s="40" t="str">
        <f>_xlfn.CONCAT(熔炼属性池!O$1,熔炼属性池!$A29)</f>
        <v>[技师]稳固</v>
      </c>
      <c r="P29" s="40" t="str">
        <f>_xlfn.CONCAT(熔炼属性池!P$1,熔炼属性池!$A29)</f>
        <v>[天翔]稳固</v>
      </c>
      <c r="Q29" s="40" t="str">
        <f>_xlfn.CONCAT(熔炼属性池!Q$1,熔炼属性池!$A29)</f>
        <v>[魔羽]稳固</v>
      </c>
      <c r="R29" s="40" t="str">
        <f>_xlfn.CONCAT(熔炼属性池!R$1,熔炼属性池!$A29)</f>
        <v>[影杀]稳固</v>
      </c>
      <c r="S29" s="40" t="str">
        <f>_xlfn.CONCAT(熔炼属性池!S$1,熔炼属性池!$A29)</f>
        <v>[术士]稳固</v>
      </c>
      <c r="T29" s="40" t="str">
        <f>_xlfn.CONCAT(熔炼属性池!T$1,熔炼属性池!$A29)</f>
        <v>[斗魂]稳固</v>
      </c>
      <c r="U29" s="40" t="str">
        <f>_xlfn.CONCAT(熔炼属性池!U$1,熔炼属性池!$A29)</f>
        <v>[幻魔]稳固</v>
      </c>
      <c r="V29" s="40" t="str">
        <f>_xlfn.CONCAT(熔炼属性池!V$1,熔炼属性池!$A29)</f>
        <v>[鬼狩]稳固</v>
      </c>
    </row>
    <row r="30" spans="1:22">
      <c r="A30" s="49" t="s">
        <v>348</v>
      </c>
      <c r="B30" s="235"/>
      <c r="C30" s="235"/>
      <c r="D30" s="235"/>
      <c r="E30" s="235"/>
      <c r="F30" s="235"/>
      <c r="G30" s="40" t="str">
        <f>_xlfn.CONCAT(熔炼属性池!G$1,熔炼属性池!$A30)</f>
        <v>[狂战]格挡</v>
      </c>
      <c r="H30" s="40" t="str">
        <f>_xlfn.CONCAT(熔炼属性池!H$1,熔炼属性池!$A30)</f>
        <v>[霸刀]格挡</v>
      </c>
      <c r="I30" s="40" t="str">
        <f>_xlfn.CONCAT(熔炼属性池!I$1,熔炼属性池!$A30)</f>
        <v>[武圣]格挡</v>
      </c>
      <c r="J30" s="40" t="str">
        <f>_xlfn.CONCAT(熔炼属性池!J$1,熔炼属性池!$A30)</f>
        <v>[魔刃]格挡</v>
      </c>
      <c r="K30" s="40" t="str">
        <f>_xlfn.CONCAT(熔炼属性池!K$1,熔炼属性池!$A30)</f>
        <v>[七杀]格挡</v>
      </c>
      <c r="L30" s="40" t="str">
        <f>_xlfn.CONCAT(熔炼属性池!L$1,熔炼属性池!$A30)</f>
        <v>[破军]格挡</v>
      </c>
      <c r="M30" s="40" t="str">
        <f>_xlfn.CONCAT(熔炼属性池!M$1,熔炼属性池!$A30)</f>
        <v>[霸王]格挡</v>
      </c>
      <c r="N30" s="40" t="str">
        <f>_xlfn.CONCAT(熔炼属性池!N$1,熔炼属性池!$A30)</f>
        <v>[贪狼]格挡</v>
      </c>
      <c r="O30" s="40" t="str">
        <f>_xlfn.CONCAT(熔炼属性池!O$1,熔炼属性池!$A30)</f>
        <v>[技师]格挡</v>
      </c>
      <c r="P30" s="40" t="str">
        <f>_xlfn.CONCAT(熔炼属性池!P$1,熔炼属性池!$A30)</f>
        <v>[天翔]格挡</v>
      </c>
      <c r="Q30" s="40" t="str">
        <f>_xlfn.CONCAT(熔炼属性池!Q$1,熔炼属性池!$A30)</f>
        <v>[魔羽]格挡</v>
      </c>
      <c r="R30" s="40" t="str">
        <f>_xlfn.CONCAT(熔炼属性池!R$1,熔炼属性池!$A30)</f>
        <v>[影杀]格挡</v>
      </c>
      <c r="S30" s="40" t="str">
        <f>_xlfn.CONCAT(熔炼属性池!S$1,熔炼属性池!$A30)</f>
        <v>[术士]格挡</v>
      </c>
      <c r="T30" s="40" t="str">
        <f>_xlfn.CONCAT(熔炼属性池!T$1,熔炼属性池!$A30)</f>
        <v>[斗魂]格挡</v>
      </c>
      <c r="U30" s="40" t="str">
        <f>_xlfn.CONCAT(熔炼属性池!U$1,熔炼属性池!$A30)</f>
        <v>[幻魔]格挡</v>
      </c>
      <c r="V30" s="40" t="str">
        <f>_xlfn.CONCAT(熔炼属性池!V$1,熔炼属性池!$A30)</f>
        <v>[鬼狩]格挡</v>
      </c>
    </row>
    <row r="31" spans="1:22">
      <c r="A31" s="49" t="s">
        <v>350</v>
      </c>
      <c r="B31" s="235"/>
      <c r="C31" s="235"/>
      <c r="D31" s="235"/>
      <c r="E31" s="235"/>
      <c r="F31" s="235"/>
      <c r="G31" s="40" t="str">
        <f>_xlfn.CONCAT(熔炼属性池!G$1,熔炼属性池!$A31)</f>
        <v>[狂战]抵抗</v>
      </c>
      <c r="H31" s="40" t="str">
        <f>_xlfn.CONCAT(熔炼属性池!H$1,熔炼属性池!$A31)</f>
        <v>[霸刀]抵抗</v>
      </c>
      <c r="I31" s="40" t="str">
        <f>_xlfn.CONCAT(熔炼属性池!I$1,熔炼属性池!$A31)</f>
        <v>[武圣]抵抗</v>
      </c>
      <c r="J31" s="40" t="str">
        <f>_xlfn.CONCAT(熔炼属性池!J$1,熔炼属性池!$A31)</f>
        <v>[魔刃]抵抗</v>
      </c>
      <c r="K31" s="40" t="str">
        <f>_xlfn.CONCAT(熔炼属性池!K$1,熔炼属性池!$A31)</f>
        <v>[七杀]抵抗</v>
      </c>
      <c r="L31" s="40" t="str">
        <f>_xlfn.CONCAT(熔炼属性池!L$1,熔炼属性池!$A31)</f>
        <v>[破军]抵抗</v>
      </c>
      <c r="M31" s="40" t="str">
        <f>_xlfn.CONCAT(熔炼属性池!M$1,熔炼属性池!$A31)</f>
        <v>[霸王]抵抗</v>
      </c>
      <c r="N31" s="40" t="str">
        <f>_xlfn.CONCAT(熔炼属性池!N$1,熔炼属性池!$A31)</f>
        <v>[贪狼]抵抗</v>
      </c>
      <c r="O31" s="40" t="str">
        <f>_xlfn.CONCAT(熔炼属性池!O$1,熔炼属性池!$A31)</f>
        <v>[技师]抵抗</v>
      </c>
      <c r="P31" s="40" t="str">
        <f>_xlfn.CONCAT(熔炼属性池!P$1,熔炼属性池!$A31)</f>
        <v>[天翔]抵抗</v>
      </c>
      <c r="Q31" s="40" t="str">
        <f>_xlfn.CONCAT(熔炼属性池!Q$1,熔炼属性池!$A31)</f>
        <v>[魔羽]抵抗</v>
      </c>
      <c r="R31" s="40" t="str">
        <f>_xlfn.CONCAT(熔炼属性池!R$1,熔炼属性池!$A31)</f>
        <v>[影杀]抵抗</v>
      </c>
      <c r="S31" s="40" t="str">
        <f>_xlfn.CONCAT(熔炼属性池!S$1,熔炼属性池!$A31)</f>
        <v>[术士]抵抗</v>
      </c>
      <c r="T31" s="40" t="str">
        <f>_xlfn.CONCAT(熔炼属性池!T$1,熔炼属性池!$A31)</f>
        <v>[斗魂]抵抗</v>
      </c>
      <c r="U31" s="40" t="str">
        <f>_xlfn.CONCAT(熔炼属性池!U$1,熔炼属性池!$A31)</f>
        <v>[幻魔]抵抗</v>
      </c>
      <c r="V31" s="40" t="str">
        <f>_xlfn.CONCAT(熔炼属性池!V$1,熔炼属性池!$A31)</f>
        <v>[鬼狩]抵抗</v>
      </c>
    </row>
    <row r="32" spans="1:22">
      <c r="A32" s="49" t="s">
        <v>377</v>
      </c>
      <c r="B32" s="235"/>
      <c r="C32" s="235"/>
      <c r="D32" s="235"/>
      <c r="E32" s="235"/>
      <c r="F32" s="235"/>
      <c r="G32" s="40" t="str">
        <f>_xlfn.CONCAT(熔炼属性池!G$1,熔炼属性池!$A32)</f>
        <v>[狂战]精准、穿透</v>
      </c>
      <c r="H32" s="40" t="str">
        <f>_xlfn.CONCAT(熔炼属性池!H$1,熔炼属性池!$A32)</f>
        <v>[霸刀]精准、穿透</v>
      </c>
      <c r="I32" s="40" t="str">
        <f>_xlfn.CONCAT(熔炼属性池!I$1,熔炼属性池!$A32)</f>
        <v>[武圣]精准、穿透</v>
      </c>
      <c r="J32" s="40" t="str">
        <f>_xlfn.CONCAT(熔炼属性池!J$1,熔炼属性池!$A32)</f>
        <v>[魔刃]精准、穿透</v>
      </c>
      <c r="K32" s="40" t="str">
        <f>_xlfn.CONCAT(熔炼属性池!K$1,熔炼属性池!$A32)</f>
        <v>[七杀]精准、穿透</v>
      </c>
      <c r="L32" s="40" t="str">
        <f>_xlfn.CONCAT(熔炼属性池!L$1,熔炼属性池!$A32)</f>
        <v>[破军]精准、穿透</v>
      </c>
      <c r="M32" s="40" t="str">
        <f>_xlfn.CONCAT(熔炼属性池!M$1,熔炼属性池!$A32)</f>
        <v>[霸王]精准、穿透</v>
      </c>
      <c r="N32" s="40" t="str">
        <f>_xlfn.CONCAT(熔炼属性池!N$1,熔炼属性池!$A32)</f>
        <v>[贪狼]精准、穿透</v>
      </c>
      <c r="O32" s="40" t="str">
        <f>_xlfn.CONCAT(熔炼属性池!O$1,熔炼属性池!$A32)</f>
        <v>[技师]精准、穿透</v>
      </c>
      <c r="P32" s="40" t="str">
        <f>_xlfn.CONCAT(熔炼属性池!P$1,熔炼属性池!$A32)</f>
        <v>[天翔]精准、穿透</v>
      </c>
      <c r="Q32" s="40" t="str">
        <f>_xlfn.CONCAT(熔炼属性池!Q$1,熔炼属性池!$A32)</f>
        <v>[魔羽]精准、穿透</v>
      </c>
      <c r="R32" s="40" t="str">
        <f>_xlfn.CONCAT(熔炼属性池!R$1,熔炼属性池!$A32)</f>
        <v>[影杀]精准、穿透</v>
      </c>
      <c r="S32" s="40" t="str">
        <f>_xlfn.CONCAT(熔炼属性池!S$1,熔炼属性池!$A32)</f>
        <v>[术士]精准、穿透</v>
      </c>
      <c r="T32" s="40" t="str">
        <f>_xlfn.CONCAT(熔炼属性池!T$1,熔炼属性池!$A32)</f>
        <v>[斗魂]精准、穿透</v>
      </c>
      <c r="U32" s="40" t="str">
        <f>_xlfn.CONCAT(熔炼属性池!U$1,熔炼属性池!$A32)</f>
        <v>[幻魔]精准、穿透</v>
      </c>
      <c r="V32" s="40" t="str">
        <f>_xlfn.CONCAT(熔炼属性池!V$1,熔炼属性池!$A32)</f>
        <v>[鬼狩]精准、穿透</v>
      </c>
    </row>
    <row r="33" spans="1:22">
      <c r="A33" s="49" t="s">
        <v>378</v>
      </c>
      <c r="B33" s="235"/>
      <c r="C33" s="235"/>
      <c r="D33" s="235"/>
      <c r="E33" s="235"/>
      <c r="F33" s="235"/>
      <c r="G33" s="40" t="str">
        <f>_xlfn.CONCAT(熔炼属性池!G$1,熔炼属性池!$A33)</f>
        <v>[狂战]破防、破法</v>
      </c>
      <c r="H33" s="40" t="str">
        <f>_xlfn.CONCAT(熔炼属性池!H$1,熔炼属性池!$A33)</f>
        <v>[霸刀]破防、破法</v>
      </c>
      <c r="I33" s="40" t="str">
        <f>_xlfn.CONCAT(熔炼属性池!I$1,熔炼属性池!$A33)</f>
        <v>[武圣]破防、破法</v>
      </c>
      <c r="J33" s="40" t="str">
        <f>_xlfn.CONCAT(熔炼属性池!J$1,熔炼属性池!$A33)</f>
        <v>[魔刃]破防、破法</v>
      </c>
      <c r="K33" s="40" t="str">
        <f>_xlfn.CONCAT(熔炼属性池!K$1,熔炼属性池!$A33)</f>
        <v>[七杀]破防、破法</v>
      </c>
      <c r="L33" s="40" t="str">
        <f>_xlfn.CONCAT(熔炼属性池!L$1,熔炼属性池!$A33)</f>
        <v>[破军]破防、破法</v>
      </c>
      <c r="M33" s="40" t="str">
        <f>_xlfn.CONCAT(熔炼属性池!M$1,熔炼属性池!$A33)</f>
        <v>[霸王]破防、破法</v>
      </c>
      <c r="N33" s="40" t="str">
        <f>_xlfn.CONCAT(熔炼属性池!N$1,熔炼属性池!$A33)</f>
        <v>[贪狼]破防、破法</v>
      </c>
      <c r="O33" s="40" t="str">
        <f>_xlfn.CONCAT(熔炼属性池!O$1,熔炼属性池!$A33)</f>
        <v>[技师]破防、破法</v>
      </c>
      <c r="P33" s="40" t="str">
        <f>_xlfn.CONCAT(熔炼属性池!P$1,熔炼属性池!$A33)</f>
        <v>[天翔]破防、破法</v>
      </c>
      <c r="Q33" s="40" t="str">
        <f>_xlfn.CONCAT(熔炼属性池!Q$1,熔炼属性池!$A33)</f>
        <v>[魔羽]破防、破法</v>
      </c>
      <c r="R33" s="40" t="str">
        <f>_xlfn.CONCAT(熔炼属性池!R$1,熔炼属性池!$A33)</f>
        <v>[影杀]破防、破法</v>
      </c>
      <c r="S33" s="40" t="str">
        <f>_xlfn.CONCAT(熔炼属性池!S$1,熔炼属性池!$A33)</f>
        <v>[术士]破防、破法</v>
      </c>
      <c r="T33" s="40" t="str">
        <f>_xlfn.CONCAT(熔炼属性池!T$1,熔炼属性池!$A33)</f>
        <v>[斗魂]破防、破法</v>
      </c>
      <c r="U33" s="40" t="str">
        <f>_xlfn.CONCAT(熔炼属性池!U$1,熔炼属性池!$A33)</f>
        <v>[幻魔]破防、破法</v>
      </c>
      <c r="V33" s="40" t="str">
        <f>_xlfn.CONCAT(熔炼属性池!V$1,熔炼属性池!$A33)</f>
        <v>[鬼狩]破防、破法</v>
      </c>
    </row>
    <row r="34" spans="1:22">
      <c r="A34" s="49" t="s">
        <v>345</v>
      </c>
      <c r="B34" s="235"/>
      <c r="C34" s="235"/>
      <c r="D34" s="235"/>
      <c r="E34" s="235"/>
      <c r="F34" s="235"/>
      <c r="G34" s="40" t="str">
        <f>_xlfn.CONCAT(熔炼属性池!G$1,熔炼属性池!$A34)</f>
        <v>[狂战]防御加持</v>
      </c>
      <c r="H34" s="40" t="str">
        <f>_xlfn.CONCAT(熔炼属性池!H$1,熔炼属性池!$A34)</f>
        <v>[霸刀]防御加持</v>
      </c>
      <c r="I34" s="40" t="str">
        <f>_xlfn.CONCAT(熔炼属性池!I$1,熔炼属性池!$A34)</f>
        <v>[武圣]防御加持</v>
      </c>
      <c r="J34" s="40" t="str">
        <f>_xlfn.CONCAT(熔炼属性池!J$1,熔炼属性池!$A34)</f>
        <v>[魔刃]防御加持</v>
      </c>
      <c r="K34" s="40" t="str">
        <f>_xlfn.CONCAT(熔炼属性池!K$1,熔炼属性池!$A34)</f>
        <v>[七杀]防御加持</v>
      </c>
      <c r="L34" s="40" t="str">
        <f>_xlfn.CONCAT(熔炼属性池!L$1,熔炼属性池!$A34)</f>
        <v>[破军]防御加持</v>
      </c>
      <c r="M34" s="40" t="str">
        <f>_xlfn.CONCAT(熔炼属性池!M$1,熔炼属性池!$A34)</f>
        <v>[霸王]防御加持</v>
      </c>
      <c r="N34" s="40" t="str">
        <f>_xlfn.CONCAT(熔炼属性池!N$1,熔炼属性池!$A34)</f>
        <v>[贪狼]防御加持</v>
      </c>
      <c r="O34" s="40" t="str">
        <f>_xlfn.CONCAT(熔炼属性池!O$1,熔炼属性池!$A34)</f>
        <v>[技师]防御加持</v>
      </c>
      <c r="P34" s="40" t="str">
        <f>_xlfn.CONCAT(熔炼属性池!P$1,熔炼属性池!$A34)</f>
        <v>[天翔]防御加持</v>
      </c>
      <c r="Q34" s="40" t="str">
        <f>_xlfn.CONCAT(熔炼属性池!Q$1,熔炼属性池!$A34)</f>
        <v>[魔羽]防御加持</v>
      </c>
      <c r="R34" s="40" t="str">
        <f>_xlfn.CONCAT(熔炼属性池!R$1,熔炼属性池!$A34)</f>
        <v>[影杀]防御加持</v>
      </c>
      <c r="S34" s="40" t="str">
        <f>_xlfn.CONCAT(熔炼属性池!S$1,熔炼属性池!$A34)</f>
        <v>[术士]防御加持</v>
      </c>
      <c r="T34" s="40" t="str">
        <f>_xlfn.CONCAT(熔炼属性池!T$1,熔炼属性池!$A34)</f>
        <v>[斗魂]防御加持</v>
      </c>
      <c r="U34" s="40" t="str">
        <f>_xlfn.CONCAT(熔炼属性池!U$1,熔炼属性池!$A34)</f>
        <v>[幻魔]防御加持</v>
      </c>
      <c r="V34" s="40" t="str">
        <f>_xlfn.CONCAT(熔炼属性池!V$1,熔炼属性池!$A34)</f>
        <v>[鬼狩]防御加持</v>
      </c>
    </row>
    <row r="35" spans="1:22">
      <c r="A35" s="300" t="s">
        <v>380</v>
      </c>
      <c r="B35" s="300" t="s">
        <v>354</v>
      </c>
      <c r="C35" s="300" t="s">
        <v>355</v>
      </c>
      <c r="D35" s="300" t="s">
        <v>356</v>
      </c>
      <c r="E35" s="300" t="s">
        <v>357</v>
      </c>
      <c r="F35" s="300" t="s">
        <v>358</v>
      </c>
      <c r="G35" s="301" t="s">
        <v>359</v>
      </c>
      <c r="H35" s="301" t="s">
        <v>360</v>
      </c>
      <c r="I35" s="301" t="s">
        <v>361</v>
      </c>
      <c r="J35" s="301" t="s">
        <v>362</v>
      </c>
      <c r="K35" s="301" t="s">
        <v>363</v>
      </c>
      <c r="L35" s="301" t="s">
        <v>364</v>
      </c>
      <c r="M35" s="301" t="s">
        <v>365</v>
      </c>
      <c r="N35" s="301" t="s">
        <v>366</v>
      </c>
      <c r="O35" s="301" t="s">
        <v>367</v>
      </c>
      <c r="P35" s="301" t="s">
        <v>368</v>
      </c>
      <c r="Q35" s="301" t="s">
        <v>369</v>
      </c>
      <c r="R35" s="301" t="s">
        <v>370</v>
      </c>
      <c r="S35" s="301" t="s">
        <v>371</v>
      </c>
      <c r="T35" s="301" t="s">
        <v>372</v>
      </c>
      <c r="U35" s="301" t="s">
        <v>373</v>
      </c>
      <c r="V35" s="301" t="s">
        <v>374</v>
      </c>
    </row>
    <row r="36" spans="1:22">
      <c r="A36" s="135" t="s">
        <v>375</v>
      </c>
      <c r="B36" s="235"/>
      <c r="C36" s="40" t="str">
        <f>_xlfn.CONCAT(熔炼属性池!C$1,熔炼属性池!$A36)</f>
        <v>[青龙]物理、法术攻击力</v>
      </c>
      <c r="D36" s="40" t="str">
        <f>_xlfn.CONCAT(熔炼属性池!D$1,熔炼属性池!$A36)</f>
        <v>[白虎]物理、法术攻击力</v>
      </c>
      <c r="E36" s="40" t="str">
        <f>_xlfn.CONCAT(熔炼属性池!E$1,熔炼属性池!$A36)</f>
        <v>[朱雀]物理、法术攻击力</v>
      </c>
      <c r="F36" s="40" t="str">
        <f>_xlfn.CONCAT(熔炼属性池!F$1,熔炼属性池!$A36)</f>
        <v>[玄武]物理、法术攻击力</v>
      </c>
      <c r="G36" s="40" t="str">
        <f>_xlfn.CONCAT(熔炼属性池!G$1,熔炼属性池!$A36)</f>
        <v>[狂战]物理、法术攻击力</v>
      </c>
      <c r="H36" s="40" t="str">
        <f>_xlfn.CONCAT(熔炼属性池!H$1,熔炼属性池!$A36)</f>
        <v>[霸刀]物理、法术攻击力</v>
      </c>
      <c r="I36" s="40" t="str">
        <f>_xlfn.CONCAT(熔炼属性池!I$1,熔炼属性池!$A36)</f>
        <v>[武圣]物理、法术攻击力</v>
      </c>
      <c r="J36" s="40" t="str">
        <f>_xlfn.CONCAT(熔炼属性池!J$1,熔炼属性池!$A36)</f>
        <v>[魔刃]物理、法术攻击力</v>
      </c>
      <c r="K36" s="40" t="str">
        <f>_xlfn.CONCAT(熔炼属性池!K$1,熔炼属性池!$A36)</f>
        <v>[七杀]物理、法术攻击力</v>
      </c>
      <c r="L36" s="40" t="str">
        <f>_xlfn.CONCAT(熔炼属性池!L$1,熔炼属性池!$A36)</f>
        <v>[破军]物理、法术攻击力</v>
      </c>
      <c r="M36" s="40" t="str">
        <f>_xlfn.CONCAT(熔炼属性池!M$1,熔炼属性池!$A36)</f>
        <v>[霸王]物理、法术攻击力</v>
      </c>
      <c r="N36" s="40" t="str">
        <f>_xlfn.CONCAT(熔炼属性池!N$1,熔炼属性池!$A36)</f>
        <v>[贪狼]物理、法术攻击力</v>
      </c>
      <c r="O36" s="40" t="str">
        <f>_xlfn.CONCAT(熔炼属性池!O$1,熔炼属性池!$A36)</f>
        <v>[技师]物理、法术攻击力</v>
      </c>
      <c r="P36" s="40" t="str">
        <f>_xlfn.CONCAT(熔炼属性池!P$1,熔炼属性池!$A36)</f>
        <v>[天翔]物理、法术攻击力</v>
      </c>
      <c r="Q36" s="40" t="str">
        <f>_xlfn.CONCAT(熔炼属性池!Q$1,熔炼属性池!$A36)</f>
        <v>[魔羽]物理、法术攻击力</v>
      </c>
      <c r="R36" s="40" t="str">
        <f>_xlfn.CONCAT(熔炼属性池!R$1,熔炼属性池!$A36)</f>
        <v>[影杀]物理、法术攻击力</v>
      </c>
      <c r="S36" s="40" t="str">
        <f>_xlfn.CONCAT(熔炼属性池!S$1,熔炼属性池!$A36)</f>
        <v>[术士]物理、法术攻击力</v>
      </c>
      <c r="T36" s="40" t="str">
        <f>_xlfn.CONCAT(熔炼属性池!T$1,熔炼属性池!$A36)</f>
        <v>[斗魂]物理、法术攻击力</v>
      </c>
      <c r="U36" s="40" t="str">
        <f>_xlfn.CONCAT(熔炼属性池!U$1,熔炼属性池!$A36)</f>
        <v>[幻魔]物理、法术攻击力</v>
      </c>
      <c r="V36" s="40" t="str">
        <f>_xlfn.CONCAT(熔炼属性池!V$1,熔炼属性池!$A36)</f>
        <v>[鬼狩]物理、法术攻击力</v>
      </c>
    </row>
    <row r="37" spans="1:22">
      <c r="A37" s="135" t="s">
        <v>343</v>
      </c>
      <c r="B37" s="235"/>
      <c r="C37" s="40" t="str">
        <f>_xlfn.CONCAT(熔炼属性池!C$1,熔炼属性池!$A37)</f>
        <v>[青龙]攻击加持</v>
      </c>
      <c r="D37" s="40" t="str">
        <f>_xlfn.CONCAT(熔炼属性池!D$1,熔炼属性池!$A37)</f>
        <v>[白虎]攻击加持</v>
      </c>
      <c r="E37" s="40" t="str">
        <f>_xlfn.CONCAT(熔炼属性池!E$1,熔炼属性池!$A37)</f>
        <v>[朱雀]攻击加持</v>
      </c>
      <c r="F37" s="40" t="str">
        <f>_xlfn.CONCAT(熔炼属性池!F$1,熔炼属性池!$A37)</f>
        <v>[玄武]攻击加持</v>
      </c>
      <c r="G37" s="40" t="str">
        <f>_xlfn.CONCAT(熔炼属性池!G$1,熔炼属性池!$A37)</f>
        <v>[狂战]攻击加持</v>
      </c>
      <c r="H37" s="40" t="str">
        <f>_xlfn.CONCAT(熔炼属性池!H$1,熔炼属性池!$A37)</f>
        <v>[霸刀]攻击加持</v>
      </c>
      <c r="I37" s="40" t="str">
        <f>_xlfn.CONCAT(熔炼属性池!I$1,熔炼属性池!$A37)</f>
        <v>[武圣]攻击加持</v>
      </c>
      <c r="J37" s="40" t="str">
        <f>_xlfn.CONCAT(熔炼属性池!J$1,熔炼属性池!$A37)</f>
        <v>[魔刃]攻击加持</v>
      </c>
      <c r="K37" s="40" t="str">
        <f>_xlfn.CONCAT(熔炼属性池!K$1,熔炼属性池!$A37)</f>
        <v>[七杀]攻击加持</v>
      </c>
      <c r="L37" s="40" t="str">
        <f>_xlfn.CONCAT(熔炼属性池!L$1,熔炼属性池!$A37)</f>
        <v>[破军]攻击加持</v>
      </c>
      <c r="M37" s="40" t="str">
        <f>_xlfn.CONCAT(熔炼属性池!M$1,熔炼属性池!$A37)</f>
        <v>[霸王]攻击加持</v>
      </c>
      <c r="N37" s="40" t="str">
        <f>_xlfn.CONCAT(熔炼属性池!N$1,熔炼属性池!$A37)</f>
        <v>[贪狼]攻击加持</v>
      </c>
      <c r="O37" s="40" t="str">
        <f>_xlfn.CONCAT(熔炼属性池!O$1,熔炼属性池!$A37)</f>
        <v>[技师]攻击加持</v>
      </c>
      <c r="P37" s="40" t="str">
        <f>_xlfn.CONCAT(熔炼属性池!P$1,熔炼属性池!$A37)</f>
        <v>[天翔]攻击加持</v>
      </c>
      <c r="Q37" s="40" t="str">
        <f>_xlfn.CONCAT(熔炼属性池!Q$1,熔炼属性池!$A37)</f>
        <v>[魔羽]攻击加持</v>
      </c>
      <c r="R37" s="40" t="str">
        <f>_xlfn.CONCAT(熔炼属性池!R$1,熔炼属性池!$A37)</f>
        <v>[影杀]攻击加持</v>
      </c>
      <c r="S37" s="40" t="str">
        <f>_xlfn.CONCAT(熔炼属性池!S$1,熔炼属性池!$A37)</f>
        <v>[术士]攻击加持</v>
      </c>
      <c r="T37" s="40" t="str">
        <f>_xlfn.CONCAT(熔炼属性池!T$1,熔炼属性池!$A37)</f>
        <v>[斗魂]攻击加持</v>
      </c>
      <c r="U37" s="40" t="str">
        <f>_xlfn.CONCAT(熔炼属性池!U$1,熔炼属性池!$A37)</f>
        <v>[幻魔]攻击加持</v>
      </c>
      <c r="V37" s="40" t="str">
        <f>_xlfn.CONCAT(熔炼属性池!V$1,熔炼属性池!$A37)</f>
        <v>[鬼狩]攻击加持</v>
      </c>
    </row>
    <row r="38" spans="1:22">
      <c r="A38" s="135" t="s">
        <v>376</v>
      </c>
      <c r="B38" s="235"/>
      <c r="C38" s="40" t="str">
        <f>_xlfn.CONCAT(熔炼属性池!C$1,熔炼属性池!$A38)</f>
        <v>[青龙]武力、智力</v>
      </c>
      <c r="D38" s="40" t="str">
        <f>_xlfn.CONCAT(熔炼属性池!D$1,熔炼属性池!$A38)</f>
        <v>[白虎]武力、智力</v>
      </c>
      <c r="E38" s="40" t="str">
        <f>_xlfn.CONCAT(熔炼属性池!E$1,熔炼属性池!$A38)</f>
        <v>[朱雀]武力、智力</v>
      </c>
      <c r="F38" s="40" t="str">
        <f>_xlfn.CONCAT(熔炼属性池!F$1,熔炼属性池!$A38)</f>
        <v>[玄武]武力、智力</v>
      </c>
      <c r="G38" s="40" t="str">
        <f>_xlfn.CONCAT(熔炼属性池!G$1,熔炼属性池!$A38)</f>
        <v>[狂战]武力、智力</v>
      </c>
      <c r="H38" s="40" t="str">
        <f>_xlfn.CONCAT(熔炼属性池!H$1,熔炼属性池!$A38)</f>
        <v>[霸刀]武力、智力</v>
      </c>
      <c r="I38" s="40" t="str">
        <f>_xlfn.CONCAT(熔炼属性池!I$1,熔炼属性池!$A38)</f>
        <v>[武圣]武力、智力</v>
      </c>
      <c r="J38" s="40" t="str">
        <f>_xlfn.CONCAT(熔炼属性池!J$1,熔炼属性池!$A38)</f>
        <v>[魔刃]武力、智力</v>
      </c>
      <c r="K38" s="40" t="str">
        <f>_xlfn.CONCAT(熔炼属性池!K$1,熔炼属性池!$A38)</f>
        <v>[七杀]武力、智力</v>
      </c>
      <c r="L38" s="40" t="str">
        <f>_xlfn.CONCAT(熔炼属性池!L$1,熔炼属性池!$A38)</f>
        <v>[破军]武力、智力</v>
      </c>
      <c r="M38" s="40" t="str">
        <f>_xlfn.CONCAT(熔炼属性池!M$1,熔炼属性池!$A38)</f>
        <v>[霸王]武力、智力</v>
      </c>
      <c r="N38" s="40" t="str">
        <f>_xlfn.CONCAT(熔炼属性池!N$1,熔炼属性池!$A38)</f>
        <v>[贪狼]武力、智力</v>
      </c>
      <c r="O38" s="40" t="str">
        <f>_xlfn.CONCAT(熔炼属性池!O$1,熔炼属性池!$A38)</f>
        <v>[技师]武力、智力</v>
      </c>
      <c r="P38" s="40" t="str">
        <f>_xlfn.CONCAT(熔炼属性池!P$1,熔炼属性池!$A38)</f>
        <v>[天翔]武力、智力</v>
      </c>
      <c r="Q38" s="40" t="str">
        <f>_xlfn.CONCAT(熔炼属性池!Q$1,熔炼属性池!$A38)</f>
        <v>[魔羽]武力、智力</v>
      </c>
      <c r="R38" s="40" t="str">
        <f>_xlfn.CONCAT(熔炼属性池!R$1,熔炼属性池!$A38)</f>
        <v>[影杀]武力、智力</v>
      </c>
      <c r="S38" s="40" t="str">
        <f>_xlfn.CONCAT(熔炼属性池!S$1,熔炼属性池!$A38)</f>
        <v>[术士]武力、智力</v>
      </c>
      <c r="T38" s="40" t="str">
        <f>_xlfn.CONCAT(熔炼属性池!T$1,熔炼属性池!$A38)</f>
        <v>[斗魂]武力、智力</v>
      </c>
      <c r="U38" s="40" t="str">
        <f>_xlfn.CONCAT(熔炼属性池!U$1,熔炼属性池!$A38)</f>
        <v>[幻魔]武力、智力</v>
      </c>
      <c r="V38" s="40" t="str">
        <f>_xlfn.CONCAT(熔炼属性池!V$1,熔炼属性池!$A38)</f>
        <v>[鬼狩]武力、智力</v>
      </c>
    </row>
    <row r="39" spans="1:22">
      <c r="A39" s="135" t="s">
        <v>337</v>
      </c>
      <c r="B39" s="235"/>
      <c r="C39" s="40" t="str">
        <f>_xlfn.CONCAT(熔炼属性池!C$1,熔炼属性池!$A39)</f>
        <v>[青龙]致命伤害</v>
      </c>
      <c r="D39" s="40" t="str">
        <f>_xlfn.CONCAT(熔炼属性池!D$1,熔炼属性池!$A39)</f>
        <v>[白虎]致命伤害</v>
      </c>
      <c r="E39" s="40" t="str">
        <f>_xlfn.CONCAT(熔炼属性池!E$1,熔炼属性池!$A39)</f>
        <v>[朱雀]致命伤害</v>
      </c>
      <c r="F39" s="40" t="str">
        <f>_xlfn.CONCAT(熔炼属性池!F$1,熔炼属性池!$A39)</f>
        <v>[玄武]致命伤害</v>
      </c>
      <c r="G39" s="40" t="str">
        <f>_xlfn.CONCAT(熔炼属性池!G$1,熔炼属性池!$A39)</f>
        <v>[狂战]致命伤害</v>
      </c>
      <c r="H39" s="40" t="str">
        <f>_xlfn.CONCAT(熔炼属性池!H$1,熔炼属性池!$A39)</f>
        <v>[霸刀]致命伤害</v>
      </c>
      <c r="I39" s="40" t="str">
        <f>_xlfn.CONCAT(熔炼属性池!I$1,熔炼属性池!$A39)</f>
        <v>[武圣]致命伤害</v>
      </c>
      <c r="J39" s="40" t="str">
        <f>_xlfn.CONCAT(熔炼属性池!J$1,熔炼属性池!$A39)</f>
        <v>[魔刃]致命伤害</v>
      </c>
      <c r="K39" s="40" t="str">
        <f>_xlfn.CONCAT(熔炼属性池!K$1,熔炼属性池!$A39)</f>
        <v>[七杀]致命伤害</v>
      </c>
      <c r="L39" s="40" t="str">
        <f>_xlfn.CONCAT(熔炼属性池!L$1,熔炼属性池!$A39)</f>
        <v>[破军]致命伤害</v>
      </c>
      <c r="M39" s="40" t="str">
        <f>_xlfn.CONCAT(熔炼属性池!M$1,熔炼属性池!$A39)</f>
        <v>[霸王]致命伤害</v>
      </c>
      <c r="N39" s="40" t="str">
        <f>_xlfn.CONCAT(熔炼属性池!N$1,熔炼属性池!$A39)</f>
        <v>[贪狼]致命伤害</v>
      </c>
      <c r="O39" s="40" t="str">
        <f>_xlfn.CONCAT(熔炼属性池!O$1,熔炼属性池!$A39)</f>
        <v>[技师]致命伤害</v>
      </c>
      <c r="P39" s="40" t="str">
        <f>_xlfn.CONCAT(熔炼属性池!P$1,熔炼属性池!$A39)</f>
        <v>[天翔]致命伤害</v>
      </c>
      <c r="Q39" s="40" t="str">
        <f>_xlfn.CONCAT(熔炼属性池!Q$1,熔炼属性池!$A39)</f>
        <v>[魔羽]致命伤害</v>
      </c>
      <c r="R39" s="40" t="str">
        <f>_xlfn.CONCAT(熔炼属性池!R$1,熔炼属性池!$A39)</f>
        <v>[影杀]致命伤害</v>
      </c>
      <c r="S39" s="40" t="str">
        <f>_xlfn.CONCAT(熔炼属性池!S$1,熔炼属性池!$A39)</f>
        <v>[术士]致命伤害</v>
      </c>
      <c r="T39" s="40" t="str">
        <f>_xlfn.CONCAT(熔炼属性池!T$1,熔炼属性池!$A39)</f>
        <v>[斗魂]致命伤害</v>
      </c>
      <c r="U39" s="40" t="str">
        <f>_xlfn.CONCAT(熔炼属性池!U$1,熔炼属性池!$A39)</f>
        <v>[幻魔]致命伤害</v>
      </c>
      <c r="V39" s="40" t="str">
        <f>_xlfn.CONCAT(熔炼属性池!V$1,熔炼属性池!$A39)</f>
        <v>[鬼狩]致命伤害</v>
      </c>
    </row>
    <row r="40" spans="1:22">
      <c r="A40" s="135" t="s">
        <v>341</v>
      </c>
      <c r="B40" s="235"/>
      <c r="C40" s="40" t="str">
        <f>_xlfn.CONCAT(熔炼属性池!C$1,熔炼属性池!$A40)</f>
        <v>[青龙]光属性伤害</v>
      </c>
      <c r="D40" s="40" t="str">
        <f>_xlfn.CONCAT(熔炼属性池!D$1,熔炼属性池!$A40)</f>
        <v>[白虎]光属性伤害</v>
      </c>
      <c r="E40" s="40" t="str">
        <f>_xlfn.CONCAT(熔炼属性池!E$1,熔炼属性池!$A40)</f>
        <v>[朱雀]光属性伤害</v>
      </c>
      <c r="F40" s="40" t="str">
        <f>_xlfn.CONCAT(熔炼属性池!F$1,熔炼属性池!$A40)</f>
        <v>[玄武]光属性伤害</v>
      </c>
      <c r="G40" s="40" t="str">
        <f>_xlfn.CONCAT(熔炼属性池!G$1,熔炼属性池!$A40)</f>
        <v>[狂战]光属性伤害</v>
      </c>
      <c r="H40" s="40" t="str">
        <f>_xlfn.CONCAT(熔炼属性池!H$1,熔炼属性池!$A40)</f>
        <v>[霸刀]光属性伤害</v>
      </c>
      <c r="I40" s="40" t="str">
        <f>_xlfn.CONCAT(熔炼属性池!I$1,熔炼属性池!$A40)</f>
        <v>[武圣]光属性伤害</v>
      </c>
      <c r="J40" s="40" t="str">
        <f>_xlfn.CONCAT(熔炼属性池!J$1,熔炼属性池!$A40)</f>
        <v>[魔刃]光属性伤害</v>
      </c>
      <c r="K40" s="40" t="str">
        <f>_xlfn.CONCAT(熔炼属性池!K$1,熔炼属性池!$A40)</f>
        <v>[七杀]光属性伤害</v>
      </c>
      <c r="L40" s="40" t="str">
        <f>_xlfn.CONCAT(熔炼属性池!L$1,熔炼属性池!$A40)</f>
        <v>[破军]光属性伤害</v>
      </c>
      <c r="M40" s="40" t="str">
        <f>_xlfn.CONCAT(熔炼属性池!M$1,熔炼属性池!$A40)</f>
        <v>[霸王]光属性伤害</v>
      </c>
      <c r="N40" s="40" t="str">
        <f>_xlfn.CONCAT(熔炼属性池!N$1,熔炼属性池!$A40)</f>
        <v>[贪狼]光属性伤害</v>
      </c>
      <c r="O40" s="40" t="str">
        <f>_xlfn.CONCAT(熔炼属性池!O$1,熔炼属性池!$A40)</f>
        <v>[技师]光属性伤害</v>
      </c>
      <c r="P40" s="40" t="str">
        <f>_xlfn.CONCAT(熔炼属性池!P$1,熔炼属性池!$A40)</f>
        <v>[天翔]光属性伤害</v>
      </c>
      <c r="Q40" s="40" t="str">
        <f>_xlfn.CONCAT(熔炼属性池!Q$1,熔炼属性池!$A40)</f>
        <v>[魔羽]光属性伤害</v>
      </c>
      <c r="R40" s="40" t="str">
        <f>_xlfn.CONCAT(熔炼属性池!R$1,熔炼属性池!$A40)</f>
        <v>[影杀]光属性伤害</v>
      </c>
      <c r="S40" s="40" t="str">
        <f>_xlfn.CONCAT(熔炼属性池!S$1,熔炼属性池!$A40)</f>
        <v>[术士]光属性伤害</v>
      </c>
      <c r="T40" s="40" t="str">
        <f>_xlfn.CONCAT(熔炼属性池!T$1,熔炼属性池!$A40)</f>
        <v>[斗魂]光属性伤害</v>
      </c>
      <c r="U40" s="40" t="str">
        <f>_xlfn.CONCAT(熔炼属性池!U$1,熔炼属性池!$A40)</f>
        <v>[幻魔]光属性伤害</v>
      </c>
      <c r="V40" s="40" t="str">
        <f>_xlfn.CONCAT(熔炼属性池!V$1,熔炼属性池!$A40)</f>
        <v>[鬼狩]光属性伤害</v>
      </c>
    </row>
    <row r="41" spans="1:22">
      <c r="A41" s="135" t="s">
        <v>342</v>
      </c>
      <c r="B41" s="235"/>
      <c r="C41" s="40" t="str">
        <f>_xlfn.CONCAT(熔炼属性池!C$1,熔炼属性池!$A41)</f>
        <v>[青龙]暗属性伤害</v>
      </c>
      <c r="D41" s="40" t="str">
        <f>_xlfn.CONCAT(熔炼属性池!D$1,熔炼属性池!$A41)</f>
        <v>[白虎]暗属性伤害</v>
      </c>
      <c r="E41" s="40" t="str">
        <f>_xlfn.CONCAT(熔炼属性池!E$1,熔炼属性池!$A41)</f>
        <v>[朱雀]暗属性伤害</v>
      </c>
      <c r="F41" s="40" t="str">
        <f>_xlfn.CONCAT(熔炼属性池!F$1,熔炼属性池!$A41)</f>
        <v>[玄武]暗属性伤害</v>
      </c>
      <c r="G41" s="40" t="str">
        <f>_xlfn.CONCAT(熔炼属性池!G$1,熔炼属性池!$A41)</f>
        <v>[狂战]暗属性伤害</v>
      </c>
      <c r="H41" s="40" t="str">
        <f>_xlfn.CONCAT(熔炼属性池!H$1,熔炼属性池!$A41)</f>
        <v>[霸刀]暗属性伤害</v>
      </c>
      <c r="I41" s="40" t="str">
        <f>_xlfn.CONCAT(熔炼属性池!I$1,熔炼属性池!$A41)</f>
        <v>[武圣]暗属性伤害</v>
      </c>
      <c r="J41" s="40" t="str">
        <f>_xlfn.CONCAT(熔炼属性池!J$1,熔炼属性池!$A41)</f>
        <v>[魔刃]暗属性伤害</v>
      </c>
      <c r="K41" s="40" t="str">
        <f>_xlfn.CONCAT(熔炼属性池!K$1,熔炼属性池!$A41)</f>
        <v>[七杀]暗属性伤害</v>
      </c>
      <c r="L41" s="40" t="str">
        <f>_xlfn.CONCAT(熔炼属性池!L$1,熔炼属性池!$A41)</f>
        <v>[破军]暗属性伤害</v>
      </c>
      <c r="M41" s="40" t="str">
        <f>_xlfn.CONCAT(熔炼属性池!M$1,熔炼属性池!$A41)</f>
        <v>[霸王]暗属性伤害</v>
      </c>
      <c r="N41" s="40" t="str">
        <f>_xlfn.CONCAT(熔炼属性池!N$1,熔炼属性池!$A41)</f>
        <v>[贪狼]暗属性伤害</v>
      </c>
      <c r="O41" s="40" t="str">
        <f>_xlfn.CONCAT(熔炼属性池!O$1,熔炼属性池!$A41)</f>
        <v>[技师]暗属性伤害</v>
      </c>
      <c r="P41" s="40" t="str">
        <f>_xlfn.CONCAT(熔炼属性池!P$1,熔炼属性池!$A41)</f>
        <v>[天翔]暗属性伤害</v>
      </c>
      <c r="Q41" s="40" t="str">
        <f>_xlfn.CONCAT(熔炼属性池!Q$1,熔炼属性池!$A41)</f>
        <v>[魔羽]暗属性伤害</v>
      </c>
      <c r="R41" s="40" t="str">
        <f>_xlfn.CONCAT(熔炼属性池!R$1,熔炼属性池!$A41)</f>
        <v>[影杀]暗属性伤害</v>
      </c>
      <c r="S41" s="40" t="str">
        <f>_xlfn.CONCAT(熔炼属性池!S$1,熔炼属性池!$A41)</f>
        <v>[术士]暗属性伤害</v>
      </c>
      <c r="T41" s="40" t="str">
        <f>_xlfn.CONCAT(熔炼属性池!T$1,熔炼属性池!$A41)</f>
        <v>[斗魂]暗属性伤害</v>
      </c>
      <c r="U41" s="40" t="str">
        <f>_xlfn.CONCAT(熔炼属性池!U$1,熔炼属性池!$A41)</f>
        <v>[幻魔]暗属性伤害</v>
      </c>
      <c r="V41" s="40" t="str">
        <f>_xlfn.CONCAT(熔炼属性池!V$1,熔炼属性池!$A41)</f>
        <v>[鬼狩]暗属性伤害</v>
      </c>
    </row>
    <row r="42" spans="1:22">
      <c r="A42" s="135" t="s">
        <v>340</v>
      </c>
      <c r="B42" s="235"/>
      <c r="C42" s="40" t="str">
        <f>_xlfn.CONCAT(熔炼属性池!C$1,熔炼属性池!$A42)</f>
        <v>[青龙]火属性伤害</v>
      </c>
      <c r="D42" s="40" t="str">
        <f>_xlfn.CONCAT(熔炼属性池!D$1,熔炼属性池!$A42)</f>
        <v>[白虎]火属性伤害</v>
      </c>
      <c r="E42" s="40" t="str">
        <f>_xlfn.CONCAT(熔炼属性池!E$1,熔炼属性池!$A42)</f>
        <v>[朱雀]火属性伤害</v>
      </c>
      <c r="F42" s="40" t="str">
        <f>_xlfn.CONCAT(熔炼属性池!F$1,熔炼属性池!$A42)</f>
        <v>[玄武]火属性伤害</v>
      </c>
      <c r="G42" s="40" t="str">
        <f>_xlfn.CONCAT(熔炼属性池!G$1,熔炼属性池!$A42)</f>
        <v>[狂战]火属性伤害</v>
      </c>
      <c r="H42" s="40" t="str">
        <f>_xlfn.CONCAT(熔炼属性池!H$1,熔炼属性池!$A42)</f>
        <v>[霸刀]火属性伤害</v>
      </c>
      <c r="I42" s="40" t="str">
        <f>_xlfn.CONCAT(熔炼属性池!I$1,熔炼属性池!$A42)</f>
        <v>[武圣]火属性伤害</v>
      </c>
      <c r="J42" s="40" t="str">
        <f>_xlfn.CONCAT(熔炼属性池!J$1,熔炼属性池!$A42)</f>
        <v>[魔刃]火属性伤害</v>
      </c>
      <c r="K42" s="40" t="str">
        <f>_xlfn.CONCAT(熔炼属性池!K$1,熔炼属性池!$A42)</f>
        <v>[七杀]火属性伤害</v>
      </c>
      <c r="L42" s="40" t="str">
        <f>_xlfn.CONCAT(熔炼属性池!L$1,熔炼属性池!$A42)</f>
        <v>[破军]火属性伤害</v>
      </c>
      <c r="M42" s="40" t="str">
        <f>_xlfn.CONCAT(熔炼属性池!M$1,熔炼属性池!$A42)</f>
        <v>[霸王]火属性伤害</v>
      </c>
      <c r="N42" s="40" t="str">
        <f>_xlfn.CONCAT(熔炼属性池!N$1,熔炼属性池!$A42)</f>
        <v>[贪狼]火属性伤害</v>
      </c>
      <c r="O42" s="40" t="str">
        <f>_xlfn.CONCAT(熔炼属性池!O$1,熔炼属性池!$A42)</f>
        <v>[技师]火属性伤害</v>
      </c>
      <c r="P42" s="40" t="str">
        <f>_xlfn.CONCAT(熔炼属性池!P$1,熔炼属性池!$A42)</f>
        <v>[天翔]火属性伤害</v>
      </c>
      <c r="Q42" s="40" t="str">
        <f>_xlfn.CONCAT(熔炼属性池!Q$1,熔炼属性池!$A42)</f>
        <v>[魔羽]火属性伤害</v>
      </c>
      <c r="R42" s="40" t="str">
        <f>_xlfn.CONCAT(熔炼属性池!R$1,熔炼属性池!$A42)</f>
        <v>[影杀]火属性伤害</v>
      </c>
      <c r="S42" s="40" t="str">
        <f>_xlfn.CONCAT(熔炼属性池!S$1,熔炼属性池!$A42)</f>
        <v>[术士]火属性伤害</v>
      </c>
      <c r="T42" s="40" t="str">
        <f>_xlfn.CONCAT(熔炼属性池!T$1,熔炼属性池!$A42)</f>
        <v>[斗魂]火属性伤害</v>
      </c>
      <c r="U42" s="40" t="str">
        <f>_xlfn.CONCAT(熔炼属性池!U$1,熔炼属性池!$A42)</f>
        <v>[幻魔]火属性伤害</v>
      </c>
      <c r="V42" s="40" t="str">
        <f>_xlfn.CONCAT(熔炼属性池!V$1,熔炼属性池!$A42)</f>
        <v>[鬼狩]火属性伤害</v>
      </c>
    </row>
    <row r="43" spans="1:22">
      <c r="A43" s="135" t="s">
        <v>339</v>
      </c>
      <c r="B43" s="235"/>
      <c r="C43" s="40" t="str">
        <f>_xlfn.CONCAT(熔炼属性池!C$1,熔炼属性池!$A43)</f>
        <v>[青龙]水属性伤害</v>
      </c>
      <c r="D43" s="40" t="str">
        <f>_xlfn.CONCAT(熔炼属性池!D$1,熔炼属性池!$A43)</f>
        <v>[白虎]水属性伤害</v>
      </c>
      <c r="E43" s="40" t="str">
        <f>_xlfn.CONCAT(熔炼属性池!E$1,熔炼属性池!$A43)</f>
        <v>[朱雀]水属性伤害</v>
      </c>
      <c r="F43" s="40" t="str">
        <f>_xlfn.CONCAT(熔炼属性池!F$1,熔炼属性池!$A43)</f>
        <v>[玄武]水属性伤害</v>
      </c>
      <c r="G43" s="40" t="str">
        <f>_xlfn.CONCAT(熔炼属性池!G$1,熔炼属性池!$A43)</f>
        <v>[狂战]水属性伤害</v>
      </c>
      <c r="H43" s="40" t="str">
        <f>_xlfn.CONCAT(熔炼属性池!H$1,熔炼属性池!$A43)</f>
        <v>[霸刀]水属性伤害</v>
      </c>
      <c r="I43" s="40" t="str">
        <f>_xlfn.CONCAT(熔炼属性池!I$1,熔炼属性池!$A43)</f>
        <v>[武圣]水属性伤害</v>
      </c>
      <c r="J43" s="40" t="str">
        <f>_xlfn.CONCAT(熔炼属性池!J$1,熔炼属性池!$A43)</f>
        <v>[魔刃]水属性伤害</v>
      </c>
      <c r="K43" s="40" t="str">
        <f>_xlfn.CONCAT(熔炼属性池!K$1,熔炼属性池!$A43)</f>
        <v>[七杀]水属性伤害</v>
      </c>
      <c r="L43" s="40" t="str">
        <f>_xlfn.CONCAT(熔炼属性池!L$1,熔炼属性池!$A43)</f>
        <v>[破军]水属性伤害</v>
      </c>
      <c r="M43" s="40" t="str">
        <f>_xlfn.CONCAT(熔炼属性池!M$1,熔炼属性池!$A43)</f>
        <v>[霸王]水属性伤害</v>
      </c>
      <c r="N43" s="40" t="str">
        <f>_xlfn.CONCAT(熔炼属性池!N$1,熔炼属性池!$A43)</f>
        <v>[贪狼]水属性伤害</v>
      </c>
      <c r="O43" s="40" t="str">
        <f>_xlfn.CONCAT(熔炼属性池!O$1,熔炼属性池!$A43)</f>
        <v>[技师]水属性伤害</v>
      </c>
      <c r="P43" s="40" t="str">
        <f>_xlfn.CONCAT(熔炼属性池!P$1,熔炼属性池!$A43)</f>
        <v>[天翔]水属性伤害</v>
      </c>
      <c r="Q43" s="40" t="str">
        <f>_xlfn.CONCAT(熔炼属性池!Q$1,熔炼属性池!$A43)</f>
        <v>[魔羽]水属性伤害</v>
      </c>
      <c r="R43" s="40" t="str">
        <f>_xlfn.CONCAT(熔炼属性池!R$1,熔炼属性池!$A43)</f>
        <v>[影杀]水属性伤害</v>
      </c>
      <c r="S43" s="40" t="str">
        <f>_xlfn.CONCAT(熔炼属性池!S$1,熔炼属性池!$A43)</f>
        <v>[术士]水属性伤害</v>
      </c>
      <c r="T43" s="40" t="str">
        <f>_xlfn.CONCAT(熔炼属性池!T$1,熔炼属性池!$A43)</f>
        <v>[斗魂]水属性伤害</v>
      </c>
      <c r="U43" s="40" t="str">
        <f>_xlfn.CONCAT(熔炼属性池!U$1,熔炼属性池!$A43)</f>
        <v>[幻魔]水属性伤害</v>
      </c>
      <c r="V43" s="40" t="str">
        <f>_xlfn.CONCAT(熔炼属性池!V$1,熔炼属性池!$A43)</f>
        <v>[鬼狩]水属性伤害</v>
      </c>
    </row>
    <row r="44" spans="1:22">
      <c r="A44" s="49" t="s">
        <v>349</v>
      </c>
      <c r="B44" s="235"/>
      <c r="C44" s="40" t="str">
        <f>_xlfn.CONCAT(熔炼属性池!C$1,熔炼属性池!$A44)</f>
        <v>[青龙]刚毅</v>
      </c>
      <c r="D44" s="40" t="str">
        <f>_xlfn.CONCAT(熔炼属性池!D$1,熔炼属性池!$A44)</f>
        <v>[白虎]刚毅</v>
      </c>
      <c r="E44" s="40" t="str">
        <f>_xlfn.CONCAT(熔炼属性池!E$1,熔炼属性池!$A44)</f>
        <v>[朱雀]刚毅</v>
      </c>
      <c r="F44" s="40" t="str">
        <f>_xlfn.CONCAT(熔炼属性池!F$1,熔炼属性池!$A44)</f>
        <v>[玄武]刚毅</v>
      </c>
      <c r="G44" s="40" t="str">
        <f>_xlfn.CONCAT(熔炼属性池!G$1,熔炼属性池!$A44)</f>
        <v>[狂战]刚毅</v>
      </c>
      <c r="H44" s="40" t="str">
        <f>_xlfn.CONCAT(熔炼属性池!H$1,熔炼属性池!$A44)</f>
        <v>[霸刀]刚毅</v>
      </c>
      <c r="I44" s="40" t="str">
        <f>_xlfn.CONCAT(熔炼属性池!I$1,熔炼属性池!$A44)</f>
        <v>[武圣]刚毅</v>
      </c>
      <c r="J44" s="40" t="str">
        <f>_xlfn.CONCAT(熔炼属性池!J$1,熔炼属性池!$A44)</f>
        <v>[魔刃]刚毅</v>
      </c>
      <c r="K44" s="40" t="str">
        <f>_xlfn.CONCAT(熔炼属性池!K$1,熔炼属性池!$A44)</f>
        <v>[七杀]刚毅</v>
      </c>
      <c r="L44" s="40" t="str">
        <f>_xlfn.CONCAT(熔炼属性池!L$1,熔炼属性池!$A44)</f>
        <v>[破军]刚毅</v>
      </c>
      <c r="M44" s="40" t="str">
        <f>_xlfn.CONCAT(熔炼属性池!M$1,熔炼属性池!$A44)</f>
        <v>[霸王]刚毅</v>
      </c>
      <c r="N44" s="40" t="str">
        <f>_xlfn.CONCAT(熔炼属性池!N$1,熔炼属性池!$A44)</f>
        <v>[贪狼]刚毅</v>
      </c>
      <c r="O44" s="40" t="str">
        <f>_xlfn.CONCAT(熔炼属性池!O$1,熔炼属性池!$A44)</f>
        <v>[技师]刚毅</v>
      </c>
      <c r="P44" s="40" t="str">
        <f>_xlfn.CONCAT(熔炼属性池!P$1,熔炼属性池!$A44)</f>
        <v>[天翔]刚毅</v>
      </c>
      <c r="Q44" s="40" t="str">
        <f>_xlfn.CONCAT(熔炼属性池!Q$1,熔炼属性池!$A44)</f>
        <v>[魔羽]刚毅</v>
      </c>
      <c r="R44" s="40" t="str">
        <f>_xlfn.CONCAT(熔炼属性池!R$1,熔炼属性池!$A44)</f>
        <v>[影杀]刚毅</v>
      </c>
      <c r="S44" s="40" t="str">
        <f>_xlfn.CONCAT(熔炼属性池!S$1,熔炼属性池!$A44)</f>
        <v>[术士]刚毅</v>
      </c>
      <c r="T44" s="40" t="str">
        <f>_xlfn.CONCAT(熔炼属性池!T$1,熔炼属性池!$A44)</f>
        <v>[斗魂]刚毅</v>
      </c>
      <c r="U44" s="40" t="str">
        <f>_xlfn.CONCAT(熔炼属性池!U$1,熔炼属性池!$A44)</f>
        <v>[幻魔]刚毅</v>
      </c>
      <c r="V44" s="40" t="str">
        <f>_xlfn.CONCAT(熔炼属性池!V$1,熔炼属性池!$A44)</f>
        <v>[鬼狩]刚毅</v>
      </c>
    </row>
    <row r="45" spans="1:22">
      <c r="A45" s="49" t="s">
        <v>351</v>
      </c>
      <c r="B45" s="235"/>
      <c r="C45" s="40" t="str">
        <f>_xlfn.CONCAT(熔炼属性池!C$1,熔炼属性池!$A45)</f>
        <v>[青龙]韧性</v>
      </c>
      <c r="D45" s="40" t="str">
        <f>_xlfn.CONCAT(熔炼属性池!D$1,熔炼属性池!$A45)</f>
        <v>[白虎]韧性</v>
      </c>
      <c r="E45" s="40" t="str">
        <f>_xlfn.CONCAT(熔炼属性池!E$1,熔炼属性池!$A45)</f>
        <v>[朱雀]韧性</v>
      </c>
      <c r="F45" s="40" t="str">
        <f>_xlfn.CONCAT(熔炼属性池!F$1,熔炼属性池!$A45)</f>
        <v>[玄武]韧性</v>
      </c>
      <c r="G45" s="40" t="str">
        <f>_xlfn.CONCAT(熔炼属性池!G$1,熔炼属性池!$A45)</f>
        <v>[狂战]韧性</v>
      </c>
      <c r="H45" s="40" t="str">
        <f>_xlfn.CONCAT(熔炼属性池!H$1,熔炼属性池!$A45)</f>
        <v>[霸刀]韧性</v>
      </c>
      <c r="I45" s="40" t="str">
        <f>_xlfn.CONCAT(熔炼属性池!I$1,熔炼属性池!$A45)</f>
        <v>[武圣]韧性</v>
      </c>
      <c r="J45" s="40" t="str">
        <f>_xlfn.CONCAT(熔炼属性池!J$1,熔炼属性池!$A45)</f>
        <v>[魔刃]韧性</v>
      </c>
      <c r="K45" s="40" t="str">
        <f>_xlfn.CONCAT(熔炼属性池!K$1,熔炼属性池!$A45)</f>
        <v>[七杀]韧性</v>
      </c>
      <c r="L45" s="40" t="str">
        <f>_xlfn.CONCAT(熔炼属性池!L$1,熔炼属性池!$A45)</f>
        <v>[破军]韧性</v>
      </c>
      <c r="M45" s="40" t="str">
        <f>_xlfn.CONCAT(熔炼属性池!M$1,熔炼属性池!$A45)</f>
        <v>[霸王]韧性</v>
      </c>
      <c r="N45" s="40" t="str">
        <f>_xlfn.CONCAT(熔炼属性池!N$1,熔炼属性池!$A45)</f>
        <v>[贪狼]韧性</v>
      </c>
      <c r="O45" s="40" t="str">
        <f>_xlfn.CONCAT(熔炼属性池!O$1,熔炼属性池!$A45)</f>
        <v>[技师]韧性</v>
      </c>
      <c r="P45" s="40" t="str">
        <f>_xlfn.CONCAT(熔炼属性池!P$1,熔炼属性池!$A45)</f>
        <v>[天翔]韧性</v>
      </c>
      <c r="Q45" s="40" t="str">
        <f>_xlfn.CONCAT(熔炼属性池!Q$1,熔炼属性池!$A45)</f>
        <v>[魔羽]韧性</v>
      </c>
      <c r="R45" s="40" t="str">
        <f>_xlfn.CONCAT(熔炼属性池!R$1,熔炼属性池!$A45)</f>
        <v>[影杀]韧性</v>
      </c>
      <c r="S45" s="40" t="str">
        <f>_xlfn.CONCAT(熔炼属性池!S$1,熔炼属性池!$A45)</f>
        <v>[术士]韧性</v>
      </c>
      <c r="T45" s="40" t="str">
        <f>_xlfn.CONCAT(熔炼属性池!T$1,熔炼属性池!$A45)</f>
        <v>[斗魂]韧性</v>
      </c>
      <c r="U45" s="40" t="str">
        <f>_xlfn.CONCAT(熔炼属性池!U$1,熔炼属性池!$A45)</f>
        <v>[幻魔]韧性</v>
      </c>
      <c r="V45" s="40" t="str">
        <f>_xlfn.CONCAT(熔炼属性池!V$1,熔炼属性池!$A45)</f>
        <v>[鬼狩]韧性</v>
      </c>
    </row>
    <row r="46" spans="1:22">
      <c r="A46" s="49" t="s">
        <v>352</v>
      </c>
      <c r="B46" s="235"/>
      <c r="C46" s="40" t="str">
        <f>_xlfn.CONCAT(熔炼属性池!C$1,熔炼属性池!$A46)</f>
        <v>[青龙]稳固</v>
      </c>
      <c r="D46" s="40" t="str">
        <f>_xlfn.CONCAT(熔炼属性池!D$1,熔炼属性池!$A46)</f>
        <v>[白虎]稳固</v>
      </c>
      <c r="E46" s="40" t="str">
        <f>_xlfn.CONCAT(熔炼属性池!E$1,熔炼属性池!$A46)</f>
        <v>[朱雀]稳固</v>
      </c>
      <c r="F46" s="40" t="str">
        <f>_xlfn.CONCAT(熔炼属性池!F$1,熔炼属性池!$A46)</f>
        <v>[玄武]稳固</v>
      </c>
      <c r="G46" s="40" t="str">
        <f>_xlfn.CONCAT(熔炼属性池!G$1,熔炼属性池!$A46)</f>
        <v>[狂战]稳固</v>
      </c>
      <c r="H46" s="40" t="str">
        <f>_xlfn.CONCAT(熔炼属性池!H$1,熔炼属性池!$A46)</f>
        <v>[霸刀]稳固</v>
      </c>
      <c r="I46" s="40" t="str">
        <f>_xlfn.CONCAT(熔炼属性池!I$1,熔炼属性池!$A46)</f>
        <v>[武圣]稳固</v>
      </c>
      <c r="J46" s="40" t="str">
        <f>_xlfn.CONCAT(熔炼属性池!J$1,熔炼属性池!$A46)</f>
        <v>[魔刃]稳固</v>
      </c>
      <c r="K46" s="40" t="str">
        <f>_xlfn.CONCAT(熔炼属性池!K$1,熔炼属性池!$A46)</f>
        <v>[七杀]稳固</v>
      </c>
      <c r="L46" s="40" t="str">
        <f>_xlfn.CONCAT(熔炼属性池!L$1,熔炼属性池!$A46)</f>
        <v>[破军]稳固</v>
      </c>
      <c r="M46" s="40" t="str">
        <f>_xlfn.CONCAT(熔炼属性池!M$1,熔炼属性池!$A46)</f>
        <v>[霸王]稳固</v>
      </c>
      <c r="N46" s="40" t="str">
        <f>_xlfn.CONCAT(熔炼属性池!N$1,熔炼属性池!$A46)</f>
        <v>[贪狼]稳固</v>
      </c>
      <c r="O46" s="40" t="str">
        <f>_xlfn.CONCAT(熔炼属性池!O$1,熔炼属性池!$A46)</f>
        <v>[技师]稳固</v>
      </c>
      <c r="P46" s="40" t="str">
        <f>_xlfn.CONCAT(熔炼属性池!P$1,熔炼属性池!$A46)</f>
        <v>[天翔]稳固</v>
      </c>
      <c r="Q46" s="40" t="str">
        <f>_xlfn.CONCAT(熔炼属性池!Q$1,熔炼属性池!$A46)</f>
        <v>[魔羽]稳固</v>
      </c>
      <c r="R46" s="40" t="str">
        <f>_xlfn.CONCAT(熔炼属性池!R$1,熔炼属性池!$A46)</f>
        <v>[影杀]稳固</v>
      </c>
      <c r="S46" s="40" t="str">
        <f>_xlfn.CONCAT(熔炼属性池!S$1,熔炼属性池!$A46)</f>
        <v>[术士]稳固</v>
      </c>
      <c r="T46" s="40" t="str">
        <f>_xlfn.CONCAT(熔炼属性池!T$1,熔炼属性池!$A46)</f>
        <v>[斗魂]稳固</v>
      </c>
      <c r="U46" s="40" t="str">
        <f>_xlfn.CONCAT(熔炼属性池!U$1,熔炼属性池!$A46)</f>
        <v>[幻魔]稳固</v>
      </c>
      <c r="V46" s="40" t="str">
        <f>_xlfn.CONCAT(熔炼属性池!V$1,熔炼属性池!$A46)</f>
        <v>[鬼狩]稳固</v>
      </c>
    </row>
    <row r="47" spans="1:22">
      <c r="A47" s="49" t="s">
        <v>348</v>
      </c>
      <c r="B47" s="235"/>
      <c r="C47" s="40" t="str">
        <f>_xlfn.CONCAT(熔炼属性池!C$1,熔炼属性池!$A47)</f>
        <v>[青龙]格挡</v>
      </c>
      <c r="D47" s="40" t="str">
        <f>_xlfn.CONCAT(熔炼属性池!D$1,熔炼属性池!$A47)</f>
        <v>[白虎]格挡</v>
      </c>
      <c r="E47" s="40" t="str">
        <f>_xlfn.CONCAT(熔炼属性池!E$1,熔炼属性池!$A47)</f>
        <v>[朱雀]格挡</v>
      </c>
      <c r="F47" s="40" t="str">
        <f>_xlfn.CONCAT(熔炼属性池!F$1,熔炼属性池!$A47)</f>
        <v>[玄武]格挡</v>
      </c>
      <c r="G47" s="40" t="str">
        <f>_xlfn.CONCAT(熔炼属性池!G$1,熔炼属性池!$A47)</f>
        <v>[狂战]格挡</v>
      </c>
      <c r="H47" s="40" t="str">
        <f>_xlfn.CONCAT(熔炼属性池!H$1,熔炼属性池!$A47)</f>
        <v>[霸刀]格挡</v>
      </c>
      <c r="I47" s="40" t="str">
        <f>_xlfn.CONCAT(熔炼属性池!I$1,熔炼属性池!$A47)</f>
        <v>[武圣]格挡</v>
      </c>
      <c r="J47" s="40" t="str">
        <f>_xlfn.CONCAT(熔炼属性池!J$1,熔炼属性池!$A47)</f>
        <v>[魔刃]格挡</v>
      </c>
      <c r="K47" s="40" t="str">
        <f>_xlfn.CONCAT(熔炼属性池!K$1,熔炼属性池!$A47)</f>
        <v>[七杀]格挡</v>
      </c>
      <c r="L47" s="40" t="str">
        <f>_xlfn.CONCAT(熔炼属性池!L$1,熔炼属性池!$A47)</f>
        <v>[破军]格挡</v>
      </c>
      <c r="M47" s="40" t="str">
        <f>_xlfn.CONCAT(熔炼属性池!M$1,熔炼属性池!$A47)</f>
        <v>[霸王]格挡</v>
      </c>
      <c r="N47" s="40" t="str">
        <f>_xlfn.CONCAT(熔炼属性池!N$1,熔炼属性池!$A47)</f>
        <v>[贪狼]格挡</v>
      </c>
      <c r="O47" s="40" t="str">
        <f>_xlfn.CONCAT(熔炼属性池!O$1,熔炼属性池!$A47)</f>
        <v>[技师]格挡</v>
      </c>
      <c r="P47" s="40" t="str">
        <f>_xlfn.CONCAT(熔炼属性池!P$1,熔炼属性池!$A47)</f>
        <v>[天翔]格挡</v>
      </c>
      <c r="Q47" s="40" t="str">
        <f>_xlfn.CONCAT(熔炼属性池!Q$1,熔炼属性池!$A47)</f>
        <v>[魔羽]格挡</v>
      </c>
      <c r="R47" s="40" t="str">
        <f>_xlfn.CONCAT(熔炼属性池!R$1,熔炼属性池!$A47)</f>
        <v>[影杀]格挡</v>
      </c>
      <c r="S47" s="40" t="str">
        <f>_xlfn.CONCAT(熔炼属性池!S$1,熔炼属性池!$A47)</f>
        <v>[术士]格挡</v>
      </c>
      <c r="T47" s="40" t="str">
        <f>_xlfn.CONCAT(熔炼属性池!T$1,熔炼属性池!$A47)</f>
        <v>[斗魂]格挡</v>
      </c>
      <c r="U47" s="40" t="str">
        <f>_xlfn.CONCAT(熔炼属性池!U$1,熔炼属性池!$A47)</f>
        <v>[幻魔]格挡</v>
      </c>
      <c r="V47" s="40" t="str">
        <f>_xlfn.CONCAT(熔炼属性池!V$1,熔炼属性池!$A47)</f>
        <v>[鬼狩]格挡</v>
      </c>
    </row>
    <row r="48" spans="1:22">
      <c r="A48" s="49" t="s">
        <v>350</v>
      </c>
      <c r="B48" s="235"/>
      <c r="C48" s="40" t="str">
        <f>_xlfn.CONCAT(熔炼属性池!C$1,熔炼属性池!$A48)</f>
        <v>[青龙]抵抗</v>
      </c>
      <c r="D48" s="40" t="str">
        <f>_xlfn.CONCAT(熔炼属性池!D$1,熔炼属性池!$A48)</f>
        <v>[白虎]抵抗</v>
      </c>
      <c r="E48" s="40" t="str">
        <f>_xlfn.CONCAT(熔炼属性池!E$1,熔炼属性池!$A48)</f>
        <v>[朱雀]抵抗</v>
      </c>
      <c r="F48" s="40" t="str">
        <f>_xlfn.CONCAT(熔炼属性池!F$1,熔炼属性池!$A48)</f>
        <v>[玄武]抵抗</v>
      </c>
      <c r="G48" s="40" t="str">
        <f>_xlfn.CONCAT(熔炼属性池!G$1,熔炼属性池!$A48)</f>
        <v>[狂战]抵抗</v>
      </c>
      <c r="H48" s="40" t="str">
        <f>_xlfn.CONCAT(熔炼属性池!H$1,熔炼属性池!$A48)</f>
        <v>[霸刀]抵抗</v>
      </c>
      <c r="I48" s="40" t="str">
        <f>_xlfn.CONCAT(熔炼属性池!I$1,熔炼属性池!$A48)</f>
        <v>[武圣]抵抗</v>
      </c>
      <c r="J48" s="40" t="str">
        <f>_xlfn.CONCAT(熔炼属性池!J$1,熔炼属性池!$A48)</f>
        <v>[魔刃]抵抗</v>
      </c>
      <c r="K48" s="40" t="str">
        <f>_xlfn.CONCAT(熔炼属性池!K$1,熔炼属性池!$A48)</f>
        <v>[七杀]抵抗</v>
      </c>
      <c r="L48" s="40" t="str">
        <f>_xlfn.CONCAT(熔炼属性池!L$1,熔炼属性池!$A48)</f>
        <v>[破军]抵抗</v>
      </c>
      <c r="M48" s="40" t="str">
        <f>_xlfn.CONCAT(熔炼属性池!M$1,熔炼属性池!$A48)</f>
        <v>[霸王]抵抗</v>
      </c>
      <c r="N48" s="40" t="str">
        <f>_xlfn.CONCAT(熔炼属性池!N$1,熔炼属性池!$A48)</f>
        <v>[贪狼]抵抗</v>
      </c>
      <c r="O48" s="40" t="str">
        <f>_xlfn.CONCAT(熔炼属性池!O$1,熔炼属性池!$A48)</f>
        <v>[技师]抵抗</v>
      </c>
      <c r="P48" s="40" t="str">
        <f>_xlfn.CONCAT(熔炼属性池!P$1,熔炼属性池!$A48)</f>
        <v>[天翔]抵抗</v>
      </c>
      <c r="Q48" s="40" t="str">
        <f>_xlfn.CONCAT(熔炼属性池!Q$1,熔炼属性池!$A48)</f>
        <v>[魔羽]抵抗</v>
      </c>
      <c r="R48" s="40" t="str">
        <f>_xlfn.CONCAT(熔炼属性池!R$1,熔炼属性池!$A48)</f>
        <v>[影杀]抵抗</v>
      </c>
      <c r="S48" s="40" t="str">
        <f>_xlfn.CONCAT(熔炼属性池!S$1,熔炼属性池!$A48)</f>
        <v>[术士]抵抗</v>
      </c>
      <c r="T48" s="40" t="str">
        <f>_xlfn.CONCAT(熔炼属性池!T$1,熔炼属性池!$A48)</f>
        <v>[斗魂]抵抗</v>
      </c>
      <c r="U48" s="40" t="str">
        <f>_xlfn.CONCAT(熔炼属性池!U$1,熔炼属性池!$A48)</f>
        <v>[幻魔]抵抗</v>
      </c>
      <c r="V48" s="40" t="str">
        <f>_xlfn.CONCAT(熔炼属性池!V$1,熔炼属性池!$A48)</f>
        <v>[鬼狩]抵抗</v>
      </c>
    </row>
    <row r="49" spans="1:22">
      <c r="A49" s="49" t="s">
        <v>377</v>
      </c>
      <c r="B49" s="235"/>
      <c r="C49" s="40" t="str">
        <f>_xlfn.CONCAT(熔炼属性池!C$1,熔炼属性池!$A49)</f>
        <v>[青龙]精准、穿透</v>
      </c>
      <c r="D49" s="40" t="str">
        <f>_xlfn.CONCAT(熔炼属性池!D$1,熔炼属性池!$A49)</f>
        <v>[白虎]精准、穿透</v>
      </c>
      <c r="E49" s="40" t="str">
        <f>_xlfn.CONCAT(熔炼属性池!E$1,熔炼属性池!$A49)</f>
        <v>[朱雀]精准、穿透</v>
      </c>
      <c r="F49" s="40" t="str">
        <f>_xlfn.CONCAT(熔炼属性池!F$1,熔炼属性池!$A49)</f>
        <v>[玄武]精准、穿透</v>
      </c>
      <c r="G49" s="40" t="str">
        <f>_xlfn.CONCAT(熔炼属性池!G$1,熔炼属性池!$A49)</f>
        <v>[狂战]精准、穿透</v>
      </c>
      <c r="H49" s="40" t="str">
        <f>_xlfn.CONCAT(熔炼属性池!H$1,熔炼属性池!$A49)</f>
        <v>[霸刀]精准、穿透</v>
      </c>
      <c r="I49" s="40" t="str">
        <f>_xlfn.CONCAT(熔炼属性池!I$1,熔炼属性池!$A49)</f>
        <v>[武圣]精准、穿透</v>
      </c>
      <c r="J49" s="40" t="str">
        <f>_xlfn.CONCAT(熔炼属性池!J$1,熔炼属性池!$A49)</f>
        <v>[魔刃]精准、穿透</v>
      </c>
      <c r="K49" s="40" t="str">
        <f>_xlfn.CONCAT(熔炼属性池!K$1,熔炼属性池!$A49)</f>
        <v>[七杀]精准、穿透</v>
      </c>
      <c r="L49" s="40" t="str">
        <f>_xlfn.CONCAT(熔炼属性池!L$1,熔炼属性池!$A49)</f>
        <v>[破军]精准、穿透</v>
      </c>
      <c r="M49" s="40" t="str">
        <f>_xlfn.CONCAT(熔炼属性池!M$1,熔炼属性池!$A49)</f>
        <v>[霸王]精准、穿透</v>
      </c>
      <c r="N49" s="40" t="str">
        <f>_xlfn.CONCAT(熔炼属性池!N$1,熔炼属性池!$A49)</f>
        <v>[贪狼]精准、穿透</v>
      </c>
      <c r="O49" s="40" t="str">
        <f>_xlfn.CONCAT(熔炼属性池!O$1,熔炼属性池!$A49)</f>
        <v>[技师]精准、穿透</v>
      </c>
      <c r="P49" s="40" t="str">
        <f>_xlfn.CONCAT(熔炼属性池!P$1,熔炼属性池!$A49)</f>
        <v>[天翔]精准、穿透</v>
      </c>
      <c r="Q49" s="40" t="str">
        <f>_xlfn.CONCAT(熔炼属性池!Q$1,熔炼属性池!$A49)</f>
        <v>[魔羽]精准、穿透</v>
      </c>
      <c r="R49" s="40" t="str">
        <f>_xlfn.CONCAT(熔炼属性池!R$1,熔炼属性池!$A49)</f>
        <v>[影杀]精准、穿透</v>
      </c>
      <c r="S49" s="40" t="str">
        <f>_xlfn.CONCAT(熔炼属性池!S$1,熔炼属性池!$A49)</f>
        <v>[术士]精准、穿透</v>
      </c>
      <c r="T49" s="40" t="str">
        <f>_xlfn.CONCAT(熔炼属性池!T$1,熔炼属性池!$A49)</f>
        <v>[斗魂]精准、穿透</v>
      </c>
      <c r="U49" s="40" t="str">
        <f>_xlfn.CONCAT(熔炼属性池!U$1,熔炼属性池!$A49)</f>
        <v>[幻魔]精准、穿透</v>
      </c>
      <c r="V49" s="40" t="str">
        <f>_xlfn.CONCAT(熔炼属性池!V$1,熔炼属性池!$A49)</f>
        <v>[鬼狩]精准、穿透</v>
      </c>
    </row>
    <row r="50" spans="1:22">
      <c r="A50" s="49" t="s">
        <v>378</v>
      </c>
      <c r="B50" s="235"/>
      <c r="C50" s="40" t="str">
        <f>_xlfn.CONCAT(熔炼属性池!C$1,熔炼属性池!$A50)</f>
        <v>[青龙]破防、破法</v>
      </c>
      <c r="D50" s="40" t="str">
        <f>_xlfn.CONCAT(熔炼属性池!D$1,熔炼属性池!$A50)</f>
        <v>[白虎]破防、破法</v>
      </c>
      <c r="E50" s="40" t="str">
        <f>_xlfn.CONCAT(熔炼属性池!E$1,熔炼属性池!$A50)</f>
        <v>[朱雀]破防、破法</v>
      </c>
      <c r="F50" s="40" t="str">
        <f>_xlfn.CONCAT(熔炼属性池!F$1,熔炼属性池!$A50)</f>
        <v>[玄武]破防、破法</v>
      </c>
      <c r="G50" s="40" t="str">
        <f>_xlfn.CONCAT(熔炼属性池!G$1,熔炼属性池!$A50)</f>
        <v>[狂战]破防、破法</v>
      </c>
      <c r="H50" s="40" t="str">
        <f>_xlfn.CONCAT(熔炼属性池!H$1,熔炼属性池!$A50)</f>
        <v>[霸刀]破防、破法</v>
      </c>
      <c r="I50" s="40" t="str">
        <f>_xlfn.CONCAT(熔炼属性池!I$1,熔炼属性池!$A50)</f>
        <v>[武圣]破防、破法</v>
      </c>
      <c r="J50" s="40" t="str">
        <f>_xlfn.CONCAT(熔炼属性池!J$1,熔炼属性池!$A50)</f>
        <v>[魔刃]破防、破法</v>
      </c>
      <c r="K50" s="40" t="str">
        <f>_xlfn.CONCAT(熔炼属性池!K$1,熔炼属性池!$A50)</f>
        <v>[七杀]破防、破法</v>
      </c>
      <c r="L50" s="40" t="str">
        <f>_xlfn.CONCAT(熔炼属性池!L$1,熔炼属性池!$A50)</f>
        <v>[破军]破防、破法</v>
      </c>
      <c r="M50" s="40" t="str">
        <f>_xlfn.CONCAT(熔炼属性池!M$1,熔炼属性池!$A50)</f>
        <v>[霸王]破防、破法</v>
      </c>
      <c r="N50" s="40" t="str">
        <f>_xlfn.CONCAT(熔炼属性池!N$1,熔炼属性池!$A50)</f>
        <v>[贪狼]破防、破法</v>
      </c>
      <c r="O50" s="40" t="str">
        <f>_xlfn.CONCAT(熔炼属性池!O$1,熔炼属性池!$A50)</f>
        <v>[技师]破防、破法</v>
      </c>
      <c r="P50" s="40" t="str">
        <f>_xlfn.CONCAT(熔炼属性池!P$1,熔炼属性池!$A50)</f>
        <v>[天翔]破防、破法</v>
      </c>
      <c r="Q50" s="40" t="str">
        <f>_xlfn.CONCAT(熔炼属性池!Q$1,熔炼属性池!$A50)</f>
        <v>[魔羽]破防、破法</v>
      </c>
      <c r="R50" s="40" t="str">
        <f>_xlfn.CONCAT(熔炼属性池!R$1,熔炼属性池!$A50)</f>
        <v>[影杀]破防、破法</v>
      </c>
      <c r="S50" s="40" t="str">
        <f>_xlfn.CONCAT(熔炼属性池!S$1,熔炼属性池!$A50)</f>
        <v>[术士]破防、破法</v>
      </c>
      <c r="T50" s="40" t="str">
        <f>_xlfn.CONCAT(熔炼属性池!T$1,熔炼属性池!$A50)</f>
        <v>[斗魂]破防、破法</v>
      </c>
      <c r="U50" s="40" t="str">
        <f>_xlfn.CONCAT(熔炼属性池!U$1,熔炼属性池!$A50)</f>
        <v>[幻魔]破防、破法</v>
      </c>
      <c r="V50" s="40" t="str">
        <f>_xlfn.CONCAT(熔炼属性池!V$1,熔炼属性池!$A50)</f>
        <v>[鬼狩]破防、破法</v>
      </c>
    </row>
    <row r="51" spans="1:22">
      <c r="A51" s="49" t="s">
        <v>345</v>
      </c>
      <c r="B51" s="235"/>
      <c r="C51" s="40" t="str">
        <f>_xlfn.CONCAT(熔炼属性池!C$1,熔炼属性池!$A51)</f>
        <v>[青龙]防御加持</v>
      </c>
      <c r="D51" s="40" t="str">
        <f>_xlfn.CONCAT(熔炼属性池!D$1,熔炼属性池!$A51)</f>
        <v>[白虎]防御加持</v>
      </c>
      <c r="E51" s="40" t="str">
        <f>_xlfn.CONCAT(熔炼属性池!E$1,熔炼属性池!$A51)</f>
        <v>[朱雀]防御加持</v>
      </c>
      <c r="F51" s="40" t="str">
        <f>_xlfn.CONCAT(熔炼属性池!F$1,熔炼属性池!$A51)</f>
        <v>[玄武]防御加持</v>
      </c>
      <c r="G51" s="40" t="str">
        <f>_xlfn.CONCAT(熔炼属性池!G$1,熔炼属性池!$A51)</f>
        <v>[狂战]防御加持</v>
      </c>
      <c r="H51" s="40" t="str">
        <f>_xlfn.CONCAT(熔炼属性池!H$1,熔炼属性池!$A51)</f>
        <v>[霸刀]防御加持</v>
      </c>
      <c r="I51" s="40" t="str">
        <f>_xlfn.CONCAT(熔炼属性池!I$1,熔炼属性池!$A51)</f>
        <v>[武圣]防御加持</v>
      </c>
      <c r="J51" s="40" t="str">
        <f>_xlfn.CONCAT(熔炼属性池!J$1,熔炼属性池!$A51)</f>
        <v>[魔刃]防御加持</v>
      </c>
      <c r="K51" s="40" t="str">
        <f>_xlfn.CONCAT(熔炼属性池!K$1,熔炼属性池!$A51)</f>
        <v>[七杀]防御加持</v>
      </c>
      <c r="L51" s="40" t="str">
        <f>_xlfn.CONCAT(熔炼属性池!L$1,熔炼属性池!$A51)</f>
        <v>[破军]防御加持</v>
      </c>
      <c r="M51" s="40" t="str">
        <f>_xlfn.CONCAT(熔炼属性池!M$1,熔炼属性池!$A51)</f>
        <v>[霸王]防御加持</v>
      </c>
      <c r="N51" s="40" t="str">
        <f>_xlfn.CONCAT(熔炼属性池!N$1,熔炼属性池!$A51)</f>
        <v>[贪狼]防御加持</v>
      </c>
      <c r="O51" s="40" t="str">
        <f>_xlfn.CONCAT(熔炼属性池!O$1,熔炼属性池!$A51)</f>
        <v>[技师]防御加持</v>
      </c>
      <c r="P51" s="40" t="str">
        <f>_xlfn.CONCAT(熔炼属性池!P$1,熔炼属性池!$A51)</f>
        <v>[天翔]防御加持</v>
      </c>
      <c r="Q51" s="40" t="str">
        <f>_xlfn.CONCAT(熔炼属性池!Q$1,熔炼属性池!$A51)</f>
        <v>[魔羽]防御加持</v>
      </c>
      <c r="R51" s="40" t="str">
        <f>_xlfn.CONCAT(熔炼属性池!R$1,熔炼属性池!$A51)</f>
        <v>[影杀]防御加持</v>
      </c>
      <c r="S51" s="40" t="str">
        <f>_xlfn.CONCAT(熔炼属性池!S$1,熔炼属性池!$A51)</f>
        <v>[术士]防御加持</v>
      </c>
      <c r="T51" s="40" t="str">
        <f>_xlfn.CONCAT(熔炼属性池!T$1,熔炼属性池!$A51)</f>
        <v>[斗魂]防御加持</v>
      </c>
      <c r="U51" s="40" t="str">
        <f>_xlfn.CONCAT(熔炼属性池!U$1,熔炼属性池!$A51)</f>
        <v>[幻魔]防御加持</v>
      </c>
      <c r="V51" s="40" t="str">
        <f>_xlfn.CONCAT(熔炼属性池!V$1,熔炼属性池!$A51)</f>
        <v>[鬼狩]防御加持</v>
      </c>
    </row>
    <row r="52" spans="1:22">
      <c r="A52" s="302" t="s">
        <v>381</v>
      </c>
      <c r="B52" s="302" t="s">
        <v>354</v>
      </c>
      <c r="C52" s="302" t="s">
        <v>355</v>
      </c>
      <c r="D52" s="302" t="s">
        <v>356</v>
      </c>
      <c r="E52" s="302" t="s">
        <v>357</v>
      </c>
      <c r="F52" s="302" t="s">
        <v>358</v>
      </c>
      <c r="G52" s="303" t="s">
        <v>359</v>
      </c>
      <c r="H52" s="303" t="s">
        <v>360</v>
      </c>
      <c r="I52" s="303" t="s">
        <v>361</v>
      </c>
      <c r="J52" s="303" t="s">
        <v>362</v>
      </c>
      <c r="K52" s="303" t="s">
        <v>363</v>
      </c>
      <c r="L52" s="303" t="s">
        <v>364</v>
      </c>
      <c r="M52" s="303" t="s">
        <v>365</v>
      </c>
      <c r="N52" s="303" t="s">
        <v>366</v>
      </c>
      <c r="O52" s="303" t="s">
        <v>367</v>
      </c>
      <c r="P52" s="303" t="s">
        <v>368</v>
      </c>
      <c r="Q52" s="303" t="s">
        <v>369</v>
      </c>
      <c r="R52" s="303" t="s">
        <v>370</v>
      </c>
      <c r="S52" s="303" t="s">
        <v>371</v>
      </c>
      <c r="T52" s="303" t="s">
        <v>372</v>
      </c>
      <c r="U52" s="303" t="s">
        <v>373</v>
      </c>
      <c r="V52" s="303" t="s">
        <v>374</v>
      </c>
    </row>
    <row r="53" spans="1:22">
      <c r="A53" s="135" t="s">
        <v>375</v>
      </c>
      <c r="B53" s="40" t="str">
        <f>_xlfn.CONCAT(熔炼属性池!B$1,熔炼属性池!$A53)</f>
        <v>[通用]物理、法术攻击力</v>
      </c>
      <c r="C53" s="40" t="str">
        <f>_xlfn.CONCAT(熔炼属性池!C$1,熔炼属性池!$A53)</f>
        <v>[青龙]物理、法术攻击力</v>
      </c>
      <c r="D53" s="40" t="str">
        <f>_xlfn.CONCAT(熔炼属性池!D$1,熔炼属性池!$A53)</f>
        <v>[白虎]物理、法术攻击力</v>
      </c>
      <c r="E53" s="40" t="str">
        <f>_xlfn.CONCAT(熔炼属性池!E$1,熔炼属性池!$A53)</f>
        <v>[朱雀]物理、法术攻击力</v>
      </c>
      <c r="F53" s="40" t="str">
        <f>_xlfn.CONCAT(熔炼属性池!F$1,熔炼属性池!$A53)</f>
        <v>[玄武]物理、法术攻击力</v>
      </c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</row>
    <row r="54" spans="1:22">
      <c r="A54" s="135" t="s">
        <v>343</v>
      </c>
      <c r="B54" s="40" t="str">
        <f>_xlfn.CONCAT(熔炼属性池!B$1,熔炼属性池!$A54)</f>
        <v>[通用]攻击加持</v>
      </c>
      <c r="C54" s="40" t="str">
        <f>_xlfn.CONCAT(熔炼属性池!C$1,熔炼属性池!$A54)</f>
        <v>[青龙]攻击加持</v>
      </c>
      <c r="D54" s="40" t="str">
        <f>_xlfn.CONCAT(熔炼属性池!D$1,熔炼属性池!$A54)</f>
        <v>[白虎]攻击加持</v>
      </c>
      <c r="E54" s="40" t="str">
        <f>_xlfn.CONCAT(熔炼属性池!E$1,熔炼属性池!$A54)</f>
        <v>[朱雀]攻击加持</v>
      </c>
      <c r="F54" s="40" t="str">
        <f>_xlfn.CONCAT(熔炼属性池!F$1,熔炼属性池!$A54)</f>
        <v>[玄武]攻击加持</v>
      </c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</row>
    <row r="55" spans="1:22">
      <c r="A55" s="135" t="s">
        <v>376</v>
      </c>
      <c r="B55" s="40" t="str">
        <f>_xlfn.CONCAT(熔炼属性池!B$1,熔炼属性池!$A55)</f>
        <v>[通用]武力、智力</v>
      </c>
      <c r="C55" s="40" t="str">
        <f>_xlfn.CONCAT(熔炼属性池!C$1,熔炼属性池!$A55)</f>
        <v>[青龙]武力、智力</v>
      </c>
      <c r="D55" s="40" t="str">
        <f>_xlfn.CONCAT(熔炼属性池!D$1,熔炼属性池!$A55)</f>
        <v>[白虎]武力、智力</v>
      </c>
      <c r="E55" s="40" t="str">
        <f>_xlfn.CONCAT(熔炼属性池!E$1,熔炼属性池!$A55)</f>
        <v>[朱雀]武力、智力</v>
      </c>
      <c r="F55" s="40" t="str">
        <f>_xlfn.CONCAT(熔炼属性池!F$1,熔炼属性池!$A55)</f>
        <v>[玄武]武力、智力</v>
      </c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</row>
    <row r="56" spans="1:22">
      <c r="A56" s="135" t="s">
        <v>337</v>
      </c>
      <c r="B56" s="40" t="str">
        <f>_xlfn.CONCAT(熔炼属性池!B$1,熔炼属性池!$A56)</f>
        <v>[通用]致命伤害</v>
      </c>
      <c r="C56" s="40" t="str">
        <f>_xlfn.CONCAT(熔炼属性池!C$1,熔炼属性池!$A56)</f>
        <v>[青龙]致命伤害</v>
      </c>
      <c r="D56" s="40" t="str">
        <f>_xlfn.CONCAT(熔炼属性池!D$1,熔炼属性池!$A56)</f>
        <v>[白虎]致命伤害</v>
      </c>
      <c r="E56" s="40" t="str">
        <f>_xlfn.CONCAT(熔炼属性池!E$1,熔炼属性池!$A56)</f>
        <v>[朱雀]致命伤害</v>
      </c>
      <c r="F56" s="40" t="str">
        <f>_xlfn.CONCAT(熔炼属性池!F$1,熔炼属性池!$A56)</f>
        <v>[玄武]致命伤害</v>
      </c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</row>
    <row r="57" spans="1:22">
      <c r="A57" s="135" t="s">
        <v>341</v>
      </c>
      <c r="B57" s="40" t="str">
        <f>_xlfn.CONCAT(熔炼属性池!B$1,熔炼属性池!$A57)</f>
        <v>[通用]光属性伤害</v>
      </c>
      <c r="C57" s="40" t="str">
        <f>_xlfn.CONCAT(熔炼属性池!C$1,熔炼属性池!$A57)</f>
        <v>[青龙]光属性伤害</v>
      </c>
      <c r="D57" s="40" t="str">
        <f>_xlfn.CONCAT(熔炼属性池!D$1,熔炼属性池!$A57)</f>
        <v>[白虎]光属性伤害</v>
      </c>
      <c r="E57" s="40" t="str">
        <f>_xlfn.CONCAT(熔炼属性池!E$1,熔炼属性池!$A57)</f>
        <v>[朱雀]光属性伤害</v>
      </c>
      <c r="F57" s="40" t="str">
        <f>_xlfn.CONCAT(熔炼属性池!F$1,熔炼属性池!$A57)</f>
        <v>[玄武]光属性伤害</v>
      </c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</row>
    <row r="58" spans="1:22">
      <c r="A58" s="135" t="s">
        <v>342</v>
      </c>
      <c r="B58" s="40" t="str">
        <f>_xlfn.CONCAT(熔炼属性池!B$1,熔炼属性池!$A58)</f>
        <v>[通用]暗属性伤害</v>
      </c>
      <c r="C58" s="40" t="str">
        <f>_xlfn.CONCAT(熔炼属性池!C$1,熔炼属性池!$A58)</f>
        <v>[青龙]暗属性伤害</v>
      </c>
      <c r="D58" s="40" t="str">
        <f>_xlfn.CONCAT(熔炼属性池!D$1,熔炼属性池!$A58)</f>
        <v>[白虎]暗属性伤害</v>
      </c>
      <c r="E58" s="40" t="str">
        <f>_xlfn.CONCAT(熔炼属性池!E$1,熔炼属性池!$A58)</f>
        <v>[朱雀]暗属性伤害</v>
      </c>
      <c r="F58" s="40" t="str">
        <f>_xlfn.CONCAT(熔炼属性池!F$1,熔炼属性池!$A58)</f>
        <v>[玄武]暗属性伤害</v>
      </c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35"/>
    </row>
    <row r="59" spans="1:22">
      <c r="A59" s="135" t="s">
        <v>340</v>
      </c>
      <c r="B59" s="40" t="str">
        <f>_xlfn.CONCAT(熔炼属性池!B$1,熔炼属性池!$A59)</f>
        <v>[通用]火属性伤害</v>
      </c>
      <c r="C59" s="40" t="str">
        <f>_xlfn.CONCAT(熔炼属性池!C$1,熔炼属性池!$A59)</f>
        <v>[青龙]火属性伤害</v>
      </c>
      <c r="D59" s="40" t="str">
        <f>_xlfn.CONCAT(熔炼属性池!D$1,熔炼属性池!$A59)</f>
        <v>[白虎]火属性伤害</v>
      </c>
      <c r="E59" s="40" t="str">
        <f>_xlfn.CONCAT(熔炼属性池!E$1,熔炼属性池!$A59)</f>
        <v>[朱雀]火属性伤害</v>
      </c>
      <c r="F59" s="40" t="str">
        <f>_xlfn.CONCAT(熔炼属性池!F$1,熔炼属性池!$A59)</f>
        <v>[玄武]火属性伤害</v>
      </c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</row>
    <row r="60" spans="1:22">
      <c r="A60" s="135" t="s">
        <v>339</v>
      </c>
      <c r="B60" s="40" t="str">
        <f>_xlfn.CONCAT(熔炼属性池!B$1,熔炼属性池!$A60)</f>
        <v>[通用]水属性伤害</v>
      </c>
      <c r="C60" s="40" t="str">
        <f>_xlfn.CONCAT(熔炼属性池!C$1,熔炼属性池!$A60)</f>
        <v>[青龙]水属性伤害</v>
      </c>
      <c r="D60" s="40" t="str">
        <f>_xlfn.CONCAT(熔炼属性池!D$1,熔炼属性池!$A60)</f>
        <v>[白虎]水属性伤害</v>
      </c>
      <c r="E60" s="40" t="str">
        <f>_xlfn.CONCAT(熔炼属性池!E$1,熔炼属性池!$A60)</f>
        <v>[朱雀]水属性伤害</v>
      </c>
      <c r="F60" s="40" t="str">
        <f>_xlfn.CONCAT(熔炼属性池!F$1,熔炼属性池!$A60)</f>
        <v>[玄武]水属性伤害</v>
      </c>
      <c r="G60" s="235"/>
      <c r="H60" s="235"/>
      <c r="I60" s="235"/>
      <c r="J60" s="235"/>
      <c r="K60" s="235"/>
      <c r="L60" s="235"/>
      <c r="M60" s="235"/>
      <c r="N60" s="235"/>
      <c r="O60" s="235"/>
      <c r="P60" s="235"/>
      <c r="Q60" s="235"/>
      <c r="R60" s="235"/>
      <c r="S60" s="235"/>
      <c r="T60" s="235"/>
      <c r="U60" s="235"/>
      <c r="V60" s="235"/>
    </row>
    <row r="61" spans="1:22">
      <c r="A61" s="49" t="s">
        <v>349</v>
      </c>
      <c r="B61" s="40" t="str">
        <f>_xlfn.CONCAT(熔炼属性池!B$1,熔炼属性池!$A61)</f>
        <v>[通用]刚毅</v>
      </c>
      <c r="C61" s="40" t="str">
        <f>_xlfn.CONCAT(熔炼属性池!C$1,熔炼属性池!$A61)</f>
        <v>[青龙]刚毅</v>
      </c>
      <c r="D61" s="40" t="str">
        <f>_xlfn.CONCAT(熔炼属性池!D$1,熔炼属性池!$A61)</f>
        <v>[白虎]刚毅</v>
      </c>
      <c r="E61" s="40" t="str">
        <f>_xlfn.CONCAT(熔炼属性池!E$1,熔炼属性池!$A61)</f>
        <v>[朱雀]刚毅</v>
      </c>
      <c r="F61" s="40" t="str">
        <f>_xlfn.CONCAT(熔炼属性池!F$1,熔炼属性池!$A61)</f>
        <v>[玄武]刚毅</v>
      </c>
      <c r="G61" s="235"/>
      <c r="H61" s="235"/>
      <c r="I61" s="235"/>
      <c r="J61" s="235"/>
      <c r="K61" s="235"/>
      <c r="L61" s="235"/>
      <c r="M61" s="235"/>
      <c r="N61" s="235"/>
      <c r="O61" s="235"/>
      <c r="P61" s="235"/>
      <c r="Q61" s="235"/>
      <c r="R61" s="235"/>
      <c r="S61" s="235"/>
      <c r="T61" s="235"/>
      <c r="U61" s="235"/>
      <c r="V61" s="235"/>
    </row>
    <row r="62" spans="1:22">
      <c r="A62" s="49" t="s">
        <v>351</v>
      </c>
      <c r="B62" s="40" t="str">
        <f>_xlfn.CONCAT(熔炼属性池!B$1,熔炼属性池!$A62)</f>
        <v>[通用]韧性</v>
      </c>
      <c r="C62" s="40" t="str">
        <f>_xlfn.CONCAT(熔炼属性池!C$1,熔炼属性池!$A62)</f>
        <v>[青龙]韧性</v>
      </c>
      <c r="D62" s="40" t="str">
        <f>_xlfn.CONCAT(熔炼属性池!D$1,熔炼属性池!$A62)</f>
        <v>[白虎]韧性</v>
      </c>
      <c r="E62" s="40" t="str">
        <f>_xlfn.CONCAT(熔炼属性池!E$1,熔炼属性池!$A62)</f>
        <v>[朱雀]韧性</v>
      </c>
      <c r="F62" s="40" t="str">
        <f>_xlfn.CONCAT(熔炼属性池!F$1,熔炼属性池!$A62)</f>
        <v>[玄武]韧性</v>
      </c>
      <c r="G62" s="235"/>
      <c r="H62" s="235"/>
      <c r="I62" s="235"/>
      <c r="J62" s="235"/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35"/>
      <c r="V62" s="235"/>
    </row>
    <row r="63" spans="1:22">
      <c r="A63" s="49" t="s">
        <v>352</v>
      </c>
      <c r="B63" s="40" t="str">
        <f>_xlfn.CONCAT(熔炼属性池!B$1,熔炼属性池!$A63)</f>
        <v>[通用]稳固</v>
      </c>
      <c r="C63" s="40" t="str">
        <f>_xlfn.CONCAT(熔炼属性池!C$1,熔炼属性池!$A63)</f>
        <v>[青龙]稳固</v>
      </c>
      <c r="D63" s="40" t="str">
        <f>_xlfn.CONCAT(熔炼属性池!D$1,熔炼属性池!$A63)</f>
        <v>[白虎]稳固</v>
      </c>
      <c r="E63" s="40" t="str">
        <f>_xlfn.CONCAT(熔炼属性池!E$1,熔炼属性池!$A63)</f>
        <v>[朱雀]稳固</v>
      </c>
      <c r="F63" s="40" t="str">
        <f>_xlfn.CONCAT(熔炼属性池!F$1,熔炼属性池!$A63)</f>
        <v>[玄武]稳固</v>
      </c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5"/>
    </row>
    <row r="64" spans="1:22">
      <c r="A64" s="49" t="s">
        <v>348</v>
      </c>
      <c r="B64" s="40" t="str">
        <f>_xlfn.CONCAT(熔炼属性池!B$1,熔炼属性池!$A64)</f>
        <v>[通用]格挡</v>
      </c>
      <c r="C64" s="40" t="str">
        <f>_xlfn.CONCAT(熔炼属性池!C$1,熔炼属性池!$A64)</f>
        <v>[青龙]格挡</v>
      </c>
      <c r="D64" s="40" t="str">
        <f>_xlfn.CONCAT(熔炼属性池!D$1,熔炼属性池!$A64)</f>
        <v>[白虎]格挡</v>
      </c>
      <c r="E64" s="40" t="str">
        <f>_xlfn.CONCAT(熔炼属性池!E$1,熔炼属性池!$A64)</f>
        <v>[朱雀]格挡</v>
      </c>
      <c r="F64" s="40" t="str">
        <f>_xlfn.CONCAT(熔炼属性池!F$1,熔炼属性池!$A64)</f>
        <v>[玄武]格挡</v>
      </c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35"/>
      <c r="U64" s="235"/>
      <c r="V64" s="235"/>
    </row>
    <row r="65" spans="1:22">
      <c r="A65" s="49" t="s">
        <v>350</v>
      </c>
      <c r="B65" s="40" t="str">
        <f>_xlfn.CONCAT(熔炼属性池!B$1,熔炼属性池!$A65)</f>
        <v>[通用]抵抗</v>
      </c>
      <c r="C65" s="40" t="str">
        <f>_xlfn.CONCAT(熔炼属性池!C$1,熔炼属性池!$A65)</f>
        <v>[青龙]抵抗</v>
      </c>
      <c r="D65" s="40" t="str">
        <f>_xlfn.CONCAT(熔炼属性池!D$1,熔炼属性池!$A65)</f>
        <v>[白虎]抵抗</v>
      </c>
      <c r="E65" s="40" t="str">
        <f>_xlfn.CONCAT(熔炼属性池!E$1,熔炼属性池!$A65)</f>
        <v>[朱雀]抵抗</v>
      </c>
      <c r="F65" s="40" t="str">
        <f>_xlfn.CONCAT(熔炼属性池!F$1,熔炼属性池!$A65)</f>
        <v>[玄武]抵抗</v>
      </c>
      <c r="G65" s="235"/>
      <c r="H65" s="235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</row>
    <row r="66" spans="1:22">
      <c r="A66" s="49" t="s">
        <v>377</v>
      </c>
      <c r="B66" s="40" t="str">
        <f>_xlfn.CONCAT(熔炼属性池!B$1,熔炼属性池!$A66)</f>
        <v>[通用]精准、穿透</v>
      </c>
      <c r="C66" s="40" t="str">
        <f>_xlfn.CONCAT(熔炼属性池!C$1,熔炼属性池!$A66)</f>
        <v>[青龙]精准、穿透</v>
      </c>
      <c r="D66" s="40" t="str">
        <f>_xlfn.CONCAT(熔炼属性池!D$1,熔炼属性池!$A66)</f>
        <v>[白虎]精准、穿透</v>
      </c>
      <c r="E66" s="40" t="str">
        <f>_xlfn.CONCAT(熔炼属性池!E$1,熔炼属性池!$A66)</f>
        <v>[朱雀]精准、穿透</v>
      </c>
      <c r="F66" s="40" t="str">
        <f>_xlfn.CONCAT(熔炼属性池!F$1,熔炼属性池!$A66)</f>
        <v>[玄武]精准、穿透</v>
      </c>
      <c r="G66" s="235"/>
      <c r="H66" s="235"/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</row>
    <row r="67" spans="1:22">
      <c r="A67" s="49" t="s">
        <v>378</v>
      </c>
      <c r="B67" s="40" t="str">
        <f>_xlfn.CONCAT(熔炼属性池!B$1,熔炼属性池!$A67)</f>
        <v>[通用]破防、破法</v>
      </c>
      <c r="C67" s="40" t="str">
        <f>_xlfn.CONCAT(熔炼属性池!C$1,熔炼属性池!$A67)</f>
        <v>[青龙]破防、破法</v>
      </c>
      <c r="D67" s="40" t="str">
        <f>_xlfn.CONCAT(熔炼属性池!D$1,熔炼属性池!$A67)</f>
        <v>[白虎]破防、破法</v>
      </c>
      <c r="E67" s="40" t="str">
        <f>_xlfn.CONCAT(熔炼属性池!E$1,熔炼属性池!$A67)</f>
        <v>[朱雀]破防、破法</v>
      </c>
      <c r="F67" s="40" t="str">
        <f>_xlfn.CONCAT(熔炼属性池!F$1,熔炼属性池!$A67)</f>
        <v>[玄武]破防、破法</v>
      </c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</row>
    <row r="68" spans="1:22">
      <c r="A68" s="49" t="s">
        <v>345</v>
      </c>
      <c r="B68" s="40" t="str">
        <f>_xlfn.CONCAT(熔炼属性池!B$1,熔炼属性池!$A68)</f>
        <v>[通用]防御加持</v>
      </c>
      <c r="C68" s="40" t="str">
        <f>_xlfn.CONCAT(熔炼属性池!C$1,熔炼属性池!$A68)</f>
        <v>[青龙]防御加持</v>
      </c>
      <c r="D68" s="40" t="str">
        <f>_xlfn.CONCAT(熔炼属性池!D$1,熔炼属性池!$A68)</f>
        <v>[白虎]防御加持</v>
      </c>
      <c r="E68" s="40" t="str">
        <f>_xlfn.CONCAT(熔炼属性池!E$1,熔炼属性池!$A68)</f>
        <v>[朱雀]防御加持</v>
      </c>
      <c r="F68" s="40" t="str">
        <f>_xlfn.CONCAT(熔炼属性池!F$1,熔炼属性池!$A68)</f>
        <v>[玄武]防御加持</v>
      </c>
      <c r="G68" s="235"/>
      <c r="H68" s="235"/>
      <c r="I68" s="235"/>
      <c r="J68" s="235"/>
      <c r="K68" s="235"/>
      <c r="L68" s="235"/>
      <c r="M68" s="235"/>
      <c r="N68" s="235"/>
      <c r="O68" s="235"/>
      <c r="P68" s="235"/>
      <c r="Q68" s="235"/>
      <c r="R68" s="235"/>
      <c r="S68" s="235"/>
      <c r="T68" s="235"/>
      <c r="U68" s="235"/>
      <c r="V68" s="235"/>
    </row>
    <row r="69" spans="1:22">
      <c r="A69" s="304" t="s">
        <v>382</v>
      </c>
      <c r="B69" s="304" t="s">
        <v>354</v>
      </c>
      <c r="C69" s="304" t="s">
        <v>355</v>
      </c>
      <c r="D69" s="304" t="s">
        <v>356</v>
      </c>
      <c r="E69" s="304" t="s">
        <v>357</v>
      </c>
      <c r="F69" s="304" t="s">
        <v>358</v>
      </c>
      <c r="G69" s="305" t="s">
        <v>359</v>
      </c>
      <c r="H69" s="305" t="s">
        <v>360</v>
      </c>
      <c r="I69" s="305" t="s">
        <v>361</v>
      </c>
      <c r="J69" s="305" t="s">
        <v>362</v>
      </c>
      <c r="K69" s="305" t="s">
        <v>363</v>
      </c>
      <c r="L69" s="305" t="s">
        <v>364</v>
      </c>
      <c r="M69" s="305" t="s">
        <v>365</v>
      </c>
      <c r="N69" s="305" t="s">
        <v>366</v>
      </c>
      <c r="O69" s="305" t="s">
        <v>367</v>
      </c>
      <c r="P69" s="305" t="s">
        <v>368</v>
      </c>
      <c r="Q69" s="305" t="s">
        <v>369</v>
      </c>
      <c r="R69" s="305" t="s">
        <v>370</v>
      </c>
      <c r="S69" s="305" t="s">
        <v>371</v>
      </c>
      <c r="T69" s="305" t="s">
        <v>372</v>
      </c>
      <c r="U69" s="305" t="s">
        <v>373</v>
      </c>
      <c r="V69" s="305" t="s">
        <v>374</v>
      </c>
    </row>
    <row r="70" spans="1:22">
      <c r="A70" s="135" t="s">
        <v>375</v>
      </c>
      <c r="B70" s="40" t="str">
        <f>_xlfn.CONCAT(熔炼属性池!B$1,熔炼属性池!$A70)</f>
        <v>[通用]物理、法术攻击力</v>
      </c>
      <c r="C70" s="235"/>
      <c r="D70" s="235"/>
      <c r="E70" s="235"/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35"/>
      <c r="U70" s="235"/>
      <c r="V70" s="235"/>
    </row>
    <row r="71" spans="1:22">
      <c r="A71" s="135" t="s">
        <v>343</v>
      </c>
      <c r="B71" s="40" t="str">
        <f>_xlfn.CONCAT(熔炼属性池!B$1,熔炼属性池!$A71)</f>
        <v>[通用]攻击加持</v>
      </c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</row>
    <row r="72" spans="1:22">
      <c r="A72" s="135" t="s">
        <v>376</v>
      </c>
      <c r="B72" s="40" t="str">
        <f>_xlfn.CONCAT(熔炼属性池!B$1,熔炼属性池!$A72)</f>
        <v>[通用]武力、智力</v>
      </c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35"/>
    </row>
    <row r="73" spans="1:22">
      <c r="A73" s="135" t="s">
        <v>337</v>
      </c>
      <c r="B73" s="40" t="str">
        <f>_xlfn.CONCAT(熔炼属性池!B$1,熔炼属性池!$A73)</f>
        <v>[通用]致命伤害</v>
      </c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</row>
    <row r="74" spans="1:22">
      <c r="A74" s="135" t="s">
        <v>341</v>
      </c>
      <c r="B74" s="40" t="str">
        <f>_xlfn.CONCAT(熔炼属性池!B$1,熔炼属性池!$A74)</f>
        <v>[通用]光属性伤害</v>
      </c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35"/>
    </row>
    <row r="75" spans="1:22">
      <c r="A75" s="135" t="s">
        <v>342</v>
      </c>
      <c r="B75" s="40" t="str">
        <f>_xlfn.CONCAT(熔炼属性池!B$1,熔炼属性池!$A75)</f>
        <v>[通用]暗属性伤害</v>
      </c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</row>
    <row r="76" spans="1:22">
      <c r="A76" s="135" t="s">
        <v>340</v>
      </c>
      <c r="B76" s="40" t="str">
        <f>_xlfn.CONCAT(熔炼属性池!B$1,熔炼属性池!$A76)</f>
        <v>[通用]火属性伤害</v>
      </c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</row>
    <row r="77" spans="1:22">
      <c r="A77" s="135" t="s">
        <v>339</v>
      </c>
      <c r="B77" s="40" t="str">
        <f>_xlfn.CONCAT(熔炼属性池!B$1,熔炼属性池!$A77)</f>
        <v>[通用]水属性伤害</v>
      </c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35"/>
    </row>
    <row r="78" spans="1:22">
      <c r="A78" s="49" t="s">
        <v>349</v>
      </c>
      <c r="B78" s="40" t="str">
        <f>_xlfn.CONCAT(熔炼属性池!B$1,熔炼属性池!$A78)</f>
        <v>[通用]刚毅</v>
      </c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35"/>
    </row>
    <row r="79" spans="1:22">
      <c r="A79" s="49" t="s">
        <v>351</v>
      </c>
      <c r="B79" s="40" t="str">
        <f>_xlfn.CONCAT(熔炼属性池!B$1,熔炼属性池!$A79)</f>
        <v>[通用]韧性</v>
      </c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</row>
    <row r="80" spans="1:22">
      <c r="A80" s="49" t="s">
        <v>352</v>
      </c>
      <c r="B80" s="40" t="str">
        <f>_xlfn.CONCAT(熔炼属性池!B$1,熔炼属性池!$A80)</f>
        <v>[通用]稳固</v>
      </c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35"/>
    </row>
    <row r="81" spans="1:22">
      <c r="A81" s="49" t="s">
        <v>348</v>
      </c>
      <c r="B81" s="40" t="str">
        <f>_xlfn.CONCAT(熔炼属性池!B$1,熔炼属性池!$A81)</f>
        <v>[通用]格挡</v>
      </c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</row>
    <row r="82" spans="1:22">
      <c r="A82" s="49" t="s">
        <v>350</v>
      </c>
      <c r="B82" s="40" t="str">
        <f>_xlfn.CONCAT(熔炼属性池!B$1,熔炼属性池!$A82)</f>
        <v>[通用]抵抗</v>
      </c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</row>
    <row r="83" spans="1:22">
      <c r="A83" s="49" t="s">
        <v>377</v>
      </c>
      <c r="B83" s="40" t="str">
        <f>_xlfn.CONCAT(熔炼属性池!B$1,熔炼属性池!$A83)</f>
        <v>[通用]精准、穿透</v>
      </c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</row>
    <row r="84" spans="1:22">
      <c r="A84" s="49" t="s">
        <v>378</v>
      </c>
      <c r="B84" s="40" t="str">
        <f>_xlfn.CONCAT(熔炼属性池!B$1,熔炼属性池!$A84)</f>
        <v>[通用]破防、破法</v>
      </c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35"/>
    </row>
    <row r="85" spans="1:22">
      <c r="A85" s="49" t="s">
        <v>345</v>
      </c>
      <c r="B85" s="40" t="str">
        <f>_xlfn.CONCAT(熔炼属性池!B$1,熔炼属性池!$A85)</f>
        <v>[通用]防御加持</v>
      </c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3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DC3E6"/>
  </sheetPr>
  <dimension ref="A1:AD120"/>
  <sheetViews>
    <sheetView topLeftCell="A54" workbookViewId="0">
      <pane xSplit="2" topLeftCell="P1" activePane="topRight" state="frozen"/>
      <selection/>
      <selection pane="topRight" activeCell="H7" sqref="H7:J32"/>
    </sheetView>
  </sheetViews>
  <sheetFormatPr defaultColWidth="9" defaultRowHeight="13.5"/>
  <cols>
    <col min="1" max="1" width="13.1916666666667" customWidth="1"/>
    <col min="2" max="2" width="16.375" customWidth="1"/>
    <col min="3" max="12" width="15" customWidth="1"/>
    <col min="13" max="13" width="10.875" customWidth="1"/>
    <col min="14" max="14" width="11.5" customWidth="1"/>
    <col min="15" max="15" width="14.25" customWidth="1"/>
    <col min="16" max="16" width="13.75" customWidth="1"/>
    <col min="17" max="17" width="27.75" customWidth="1"/>
    <col min="18" max="22" width="13.75" customWidth="1"/>
    <col min="23" max="23" width="12.875" customWidth="1"/>
    <col min="24" max="24" width="15" customWidth="1"/>
    <col min="25" max="26" width="13.75" customWidth="1"/>
    <col min="27" max="27" width="14.4416666666667" customWidth="1"/>
    <col min="28" max="28" width="13.75" customWidth="1"/>
    <col min="29" max="31" width="14" customWidth="1"/>
  </cols>
  <sheetData>
    <row r="1" ht="14.25"/>
    <row r="2" ht="34.15" customHeight="1" spans="1:30">
      <c r="A2" s="115"/>
      <c r="B2" s="116"/>
      <c r="C2" s="117" t="s">
        <v>334</v>
      </c>
      <c r="D2" s="118" t="s">
        <v>176</v>
      </c>
      <c r="E2" s="118" t="s">
        <v>191</v>
      </c>
      <c r="F2" s="118" t="s">
        <v>179</v>
      </c>
      <c r="G2" s="119" t="s">
        <v>150</v>
      </c>
      <c r="H2" s="119" t="s">
        <v>158</v>
      </c>
      <c r="I2" s="119" t="s">
        <v>165</v>
      </c>
      <c r="J2" s="119" t="s">
        <v>174</v>
      </c>
      <c r="K2" s="120" t="s">
        <v>172</v>
      </c>
      <c r="M2" s="121" t="s">
        <v>383</v>
      </c>
      <c r="N2" s="122">
        <v>1</v>
      </c>
      <c r="O2" s="122">
        <v>2</v>
      </c>
      <c r="P2" s="122">
        <v>3</v>
      </c>
      <c r="Q2" s="122">
        <v>4</v>
      </c>
      <c r="R2" s="122">
        <v>5</v>
      </c>
      <c r="S2" s="122">
        <v>6</v>
      </c>
      <c r="T2" s="122">
        <v>7</v>
      </c>
      <c r="U2" s="122">
        <v>8</v>
      </c>
      <c r="V2" s="122">
        <v>9</v>
      </c>
    </row>
    <row r="3" ht="20.85" customHeight="1" spans="1:30">
      <c r="A3" s="123" t="s">
        <v>384</v>
      </c>
      <c r="B3" s="124"/>
      <c r="C3" s="125" t="s">
        <v>335</v>
      </c>
      <c r="D3" s="126" t="s">
        <v>335</v>
      </c>
      <c r="E3" s="126" t="s">
        <v>335</v>
      </c>
      <c r="F3" s="126" t="s">
        <v>335</v>
      </c>
      <c r="G3" s="126" t="s">
        <v>335</v>
      </c>
      <c r="H3" s="126" t="s">
        <v>335</v>
      </c>
      <c r="I3" s="126" t="s">
        <v>335</v>
      </c>
      <c r="J3" s="126" t="s">
        <v>335</v>
      </c>
      <c r="K3" s="127" t="s">
        <v>335</v>
      </c>
      <c r="M3" s="71"/>
      <c r="N3" s="128"/>
      <c r="O3" s="128"/>
      <c r="P3" s="128" t="s">
        <v>385</v>
      </c>
      <c r="Q3" s="128"/>
      <c r="R3" s="129" t="s">
        <v>345</v>
      </c>
      <c r="S3" s="129"/>
      <c r="T3" s="129" t="s">
        <v>343</v>
      </c>
      <c r="U3" s="130"/>
      <c r="V3" s="131" t="s">
        <v>386</v>
      </c>
    </row>
    <row r="4" ht="22.5" customHeight="1" spans="1:30">
      <c r="A4" s="132" t="s">
        <v>387</v>
      </c>
      <c r="B4" s="133">
        <v>1</v>
      </c>
      <c r="C4" s="134" t="s">
        <v>336</v>
      </c>
      <c r="D4" s="135" t="s">
        <v>336</v>
      </c>
      <c r="E4" s="135" t="s">
        <v>336</v>
      </c>
      <c r="F4" s="135" t="s">
        <v>336</v>
      </c>
      <c r="G4" s="135" t="s">
        <v>336</v>
      </c>
      <c r="H4" s="135" t="s">
        <v>336</v>
      </c>
      <c r="I4" s="135" t="s">
        <v>336</v>
      </c>
      <c r="J4" s="135" t="s">
        <v>336</v>
      </c>
      <c r="K4" s="136" t="s">
        <v>336</v>
      </c>
      <c r="M4" s="1"/>
      <c r="N4" s="2"/>
      <c r="O4" s="2"/>
      <c r="P4" s="2"/>
      <c r="Q4" s="2"/>
      <c r="R4" s="39" t="s">
        <v>388</v>
      </c>
      <c r="S4" s="41"/>
      <c r="T4" s="41"/>
      <c r="U4" s="2"/>
      <c r="V4" s="2">
        <v>1</v>
      </c>
    </row>
    <row r="5" ht="20.85" customHeight="1" spans="1:30">
      <c r="A5" s="137" t="s">
        <v>389</v>
      </c>
      <c r="B5" s="138">
        <v>2</v>
      </c>
      <c r="C5" s="134" t="s">
        <v>337</v>
      </c>
      <c r="D5" s="135" t="s">
        <v>337</v>
      </c>
      <c r="E5" s="135" t="s">
        <v>337</v>
      </c>
      <c r="F5" s="135" t="s">
        <v>337</v>
      </c>
      <c r="G5" s="135" t="s">
        <v>339</v>
      </c>
      <c r="H5" s="135" t="s">
        <v>340</v>
      </c>
      <c r="I5" s="135" t="s">
        <v>338</v>
      </c>
      <c r="J5" s="135" t="s">
        <v>341</v>
      </c>
      <c r="K5" s="136" t="s">
        <v>342</v>
      </c>
      <c r="M5" s="1">
        <v>1</v>
      </c>
      <c r="N5" s="1" t="s">
        <v>390</v>
      </c>
      <c r="O5" s="1" t="s">
        <v>391</v>
      </c>
      <c r="R5" s="40">
        <v>1</v>
      </c>
      <c r="S5" s="139" t="s">
        <v>392</v>
      </c>
      <c r="T5" s="40"/>
    </row>
    <row r="6" ht="22.5" customHeight="1" spans="1:30">
      <c r="A6" s="140" t="s">
        <v>393</v>
      </c>
      <c r="B6" s="133">
        <v>3</v>
      </c>
      <c r="C6" s="135" t="s">
        <v>338</v>
      </c>
      <c r="D6" s="135" t="s">
        <v>344</v>
      </c>
      <c r="E6" s="135" t="s">
        <v>344</v>
      </c>
      <c r="F6" s="135" t="s">
        <v>344</v>
      </c>
      <c r="G6" s="135" t="s">
        <v>343</v>
      </c>
      <c r="H6" s="135" t="s">
        <v>343</v>
      </c>
      <c r="I6" s="135" t="s">
        <v>343</v>
      </c>
      <c r="J6" s="135" t="s">
        <v>343</v>
      </c>
      <c r="K6" s="135" t="s">
        <v>343</v>
      </c>
      <c r="M6">
        <v>2</v>
      </c>
      <c r="N6" s="1" t="s">
        <v>179</v>
      </c>
      <c r="O6" s="1" t="s">
        <v>394</v>
      </c>
      <c r="Q6" s="2">
        <v>0.15</v>
      </c>
      <c r="R6" s="40">
        <v>2</v>
      </c>
      <c r="S6" s="39" t="s">
        <v>395</v>
      </c>
      <c r="T6" s="40">
        <v>1000</v>
      </c>
    </row>
    <row r="7" ht="20.85" customHeight="1" spans="1:30">
      <c r="A7" s="141"/>
      <c r="B7" s="133">
        <v>4</v>
      </c>
      <c r="C7" s="142" t="s">
        <v>346</v>
      </c>
      <c r="D7" s="49" t="s">
        <v>346</v>
      </c>
      <c r="E7" s="49" t="s">
        <v>347</v>
      </c>
      <c r="F7" s="49" t="s">
        <v>347</v>
      </c>
      <c r="G7" s="49" t="s">
        <v>348</v>
      </c>
      <c r="H7" s="49" t="s">
        <v>349</v>
      </c>
      <c r="I7" s="49" t="s">
        <v>350</v>
      </c>
      <c r="J7" s="49" t="s">
        <v>351</v>
      </c>
      <c r="K7" s="143" t="s">
        <v>352</v>
      </c>
      <c r="M7">
        <v>3</v>
      </c>
      <c r="N7" s="1" t="s">
        <v>396</v>
      </c>
      <c r="O7" t="s">
        <v>397</v>
      </c>
      <c r="P7">
        <v>500</v>
      </c>
      <c r="R7" s="40">
        <v>3</v>
      </c>
      <c r="S7" s="39" t="s">
        <v>345</v>
      </c>
      <c r="T7" s="40">
        <v>100</v>
      </c>
    </row>
    <row r="8" ht="20.85" customHeight="1" spans="1:30">
      <c r="B8" s="124"/>
      <c r="C8" s="144" t="s">
        <v>389</v>
      </c>
      <c r="D8" s="145" t="s">
        <v>389</v>
      </c>
      <c r="E8" s="145" t="s">
        <v>389</v>
      </c>
      <c r="F8" s="145" t="s">
        <v>389</v>
      </c>
      <c r="G8" s="145" t="s">
        <v>389</v>
      </c>
      <c r="H8" s="145" t="s">
        <v>389</v>
      </c>
      <c r="I8" s="145" t="s">
        <v>389</v>
      </c>
      <c r="J8" s="145" t="s">
        <v>389</v>
      </c>
      <c r="K8" s="146" t="s">
        <v>389</v>
      </c>
      <c r="M8">
        <v>4</v>
      </c>
      <c r="N8" s="1" t="s">
        <v>398</v>
      </c>
      <c r="O8" s="1" t="s">
        <v>399</v>
      </c>
      <c r="P8">
        <v>200</v>
      </c>
      <c r="R8" s="40">
        <v>4</v>
      </c>
      <c r="S8" s="39" t="s">
        <v>400</v>
      </c>
      <c r="T8" s="41">
        <v>0.1</v>
      </c>
    </row>
    <row r="9" ht="20.85" customHeight="1" spans="1:30">
      <c r="B9" s="133">
        <v>1</v>
      </c>
      <c r="C9" s="134" t="s">
        <v>336</v>
      </c>
      <c r="D9" s="147" t="s">
        <v>401</v>
      </c>
      <c r="E9" s="147" t="s">
        <v>401</v>
      </c>
      <c r="F9" s="147" t="s">
        <v>401</v>
      </c>
      <c r="G9" s="147" t="s">
        <v>385</v>
      </c>
      <c r="H9" s="147" t="s">
        <v>385</v>
      </c>
      <c r="I9" s="147" t="s">
        <v>385</v>
      </c>
      <c r="J9" s="147" t="s">
        <v>385</v>
      </c>
      <c r="K9" s="148" t="s">
        <v>385</v>
      </c>
      <c r="M9">
        <v>5</v>
      </c>
      <c r="N9" s="1" t="s">
        <v>402</v>
      </c>
      <c r="O9" s="1" t="s">
        <v>403</v>
      </c>
      <c r="P9" s="1" t="s">
        <v>404</v>
      </c>
      <c r="Q9" s="1" t="s">
        <v>405</v>
      </c>
      <c r="R9" s="40">
        <v>5</v>
      </c>
      <c r="S9" s="39" t="s">
        <v>406</v>
      </c>
      <c r="T9" s="41">
        <v>0.1</v>
      </c>
    </row>
    <row r="10" ht="20.85" customHeight="1" spans="1:30">
      <c r="B10" s="133">
        <v>2</v>
      </c>
      <c r="C10" s="149" t="s">
        <v>400</v>
      </c>
      <c r="D10" s="150" t="s">
        <v>407</v>
      </c>
      <c r="E10" s="150" t="s">
        <v>407</v>
      </c>
      <c r="F10" s="150" t="s">
        <v>407</v>
      </c>
      <c r="G10" s="150" t="s">
        <v>408</v>
      </c>
      <c r="H10" s="150" t="s">
        <v>408</v>
      </c>
      <c r="I10" s="150" t="s">
        <v>408</v>
      </c>
      <c r="J10" s="150" t="s">
        <v>408</v>
      </c>
      <c r="K10" s="151" t="s">
        <v>408</v>
      </c>
      <c r="M10">
        <v>6</v>
      </c>
      <c r="N10" s="1" t="s">
        <v>409</v>
      </c>
      <c r="P10" s="1" t="s">
        <v>410</v>
      </c>
      <c r="R10" s="40">
        <v>6</v>
      </c>
      <c r="S10" s="39" t="s">
        <v>411</v>
      </c>
      <c r="T10" s="41">
        <v>0.1</v>
      </c>
    </row>
    <row r="11" ht="20.85" customHeight="1" spans="1:30">
      <c r="B11" s="152">
        <v>3</v>
      </c>
      <c r="C11" s="153" t="s">
        <v>406</v>
      </c>
      <c r="D11" s="154" t="s">
        <v>412</v>
      </c>
      <c r="E11" s="154" t="s">
        <v>412</v>
      </c>
      <c r="F11" s="154" t="s">
        <v>412</v>
      </c>
      <c r="G11" s="154" t="s">
        <v>412</v>
      </c>
      <c r="H11" s="154" t="s">
        <v>413</v>
      </c>
      <c r="I11" s="154" t="s">
        <v>413</v>
      </c>
      <c r="J11" s="154" t="s">
        <v>413</v>
      </c>
      <c r="K11" s="155" t="s">
        <v>413</v>
      </c>
      <c r="M11">
        <v>7</v>
      </c>
      <c r="N11" s="156" t="s">
        <v>414</v>
      </c>
      <c r="R11" s="40">
        <v>7</v>
      </c>
      <c r="S11" s="39" t="s">
        <v>415</v>
      </c>
      <c r="T11" s="41">
        <v>0.1</v>
      </c>
    </row>
    <row r="12" ht="15.75" customHeight="1" spans="1:30">
      <c r="F12" s="16" t="s">
        <v>416</v>
      </c>
      <c r="G12" s="17"/>
      <c r="H12" s="17"/>
      <c r="J12" s="157"/>
      <c r="M12">
        <v>8</v>
      </c>
      <c r="N12" s="1" t="s">
        <v>417</v>
      </c>
    </row>
    <row r="13" s="114" customFormat="1" ht="27.5" customHeight="1" spans="1:30">
      <c r="A13" s="158" t="s">
        <v>40</v>
      </c>
      <c r="B13" s="159" t="s">
        <v>418</v>
      </c>
      <c r="C13" s="160" t="s">
        <v>419</v>
      </c>
      <c r="D13" s="161" t="s">
        <v>420</v>
      </c>
      <c r="E13" s="161" t="s">
        <v>421</v>
      </c>
      <c r="F13" s="162" t="s">
        <v>422</v>
      </c>
      <c r="G13" s="163" t="s">
        <v>423</v>
      </c>
      <c r="H13" s="164" t="s">
        <v>424</v>
      </c>
      <c r="I13" s="165" t="s">
        <v>425</v>
      </c>
      <c r="J13" s="166" t="s">
        <v>426</v>
      </c>
      <c r="K13" s="167" t="s">
        <v>427</v>
      </c>
      <c r="L13" s="161" t="s">
        <v>428</v>
      </c>
      <c r="M13" s="161" t="s">
        <v>429</v>
      </c>
      <c r="N13" s="161" t="s">
        <v>430</v>
      </c>
      <c r="O13" s="168" t="s">
        <v>431</v>
      </c>
      <c r="P13" s="169" t="s">
        <v>432</v>
      </c>
      <c r="Q13" s="170" t="s">
        <v>433</v>
      </c>
      <c r="R13" s="170" t="s">
        <v>434</v>
      </c>
      <c r="S13" s="170" t="s">
        <v>435</v>
      </c>
      <c r="T13" s="171" t="s">
        <v>436</v>
      </c>
      <c r="U13" s="167" t="s">
        <v>437</v>
      </c>
      <c r="V13" s="161" t="s">
        <v>438</v>
      </c>
      <c r="W13" s="161" t="s">
        <v>439</v>
      </c>
      <c r="X13" s="161" t="s">
        <v>440</v>
      </c>
      <c r="Y13" s="168" t="s">
        <v>441</v>
      </c>
      <c r="Z13" s="169" t="s">
        <v>442</v>
      </c>
      <c r="AA13" s="170" t="s">
        <v>443</v>
      </c>
      <c r="AB13" s="170" t="s">
        <v>444</v>
      </c>
      <c r="AC13" s="170" t="s">
        <v>445</v>
      </c>
      <c r="AD13" s="166" t="s">
        <v>446</v>
      </c>
    </row>
    <row r="14" ht="18.35" customHeight="1" spans="1:30">
      <c r="A14" s="172" t="s">
        <v>447</v>
      </c>
      <c r="B14" s="172" t="s">
        <v>386</v>
      </c>
      <c r="C14" s="53">
        <v>1</v>
      </c>
      <c r="D14" s="173">
        <f t="shared" ref="D14:D29" si="0">F14/I14</f>
        <v>5</v>
      </c>
      <c r="E14" s="174">
        <f>D14</f>
        <v>5</v>
      </c>
      <c r="F14" s="175">
        <f>(H14*C14)</f>
        <v>500</v>
      </c>
      <c r="G14" s="176">
        <f>F14*9</f>
        <v>4500</v>
      </c>
      <c r="H14" s="177">
        <v>500</v>
      </c>
      <c r="I14" s="178">
        <v>100</v>
      </c>
      <c r="J14" s="179">
        <f>F14</f>
        <v>500</v>
      </c>
      <c r="K14" s="179">
        <f t="shared" ref="K14:R14" si="1">$J14*K$30</f>
        <v>520</v>
      </c>
      <c r="L14" s="179">
        <f t="shared" si="1"/>
        <v>540</v>
      </c>
      <c r="M14" s="179">
        <f t="shared" si="1"/>
        <v>560</v>
      </c>
      <c r="N14" s="179">
        <f t="shared" si="1"/>
        <v>580</v>
      </c>
      <c r="O14" s="179">
        <f t="shared" si="1"/>
        <v>620</v>
      </c>
      <c r="P14" s="179">
        <f t="shared" si="1"/>
        <v>660</v>
      </c>
      <c r="Q14" s="179">
        <f t="shared" si="1"/>
        <v>700</v>
      </c>
      <c r="R14" s="179">
        <f t="shared" si="1"/>
        <v>740</v>
      </c>
      <c r="S14" s="179">
        <f t="shared" ref="S14:AD14" si="2">$J14*S$30</f>
        <v>860</v>
      </c>
      <c r="T14" s="179">
        <f t="shared" si="2"/>
        <v>980</v>
      </c>
      <c r="U14" s="179">
        <f t="shared" si="2"/>
        <v>1100</v>
      </c>
      <c r="V14" s="179">
        <f t="shared" si="2"/>
        <v>1340</v>
      </c>
      <c r="W14" s="179">
        <f t="shared" si="2"/>
        <v>1580</v>
      </c>
      <c r="X14" s="179">
        <f t="shared" si="2"/>
        <v>1820</v>
      </c>
      <c r="Y14" s="179">
        <f t="shared" si="2"/>
        <v>2060</v>
      </c>
      <c r="Z14" s="179">
        <f t="shared" si="2"/>
        <v>2180</v>
      </c>
      <c r="AA14" s="179">
        <f t="shared" si="2"/>
        <v>2300</v>
      </c>
      <c r="AB14" s="179">
        <f t="shared" si="2"/>
        <v>2420</v>
      </c>
      <c r="AC14" s="179">
        <f t="shared" si="2"/>
        <v>2540</v>
      </c>
      <c r="AD14" s="179">
        <f t="shared" si="2"/>
        <v>2660</v>
      </c>
    </row>
    <row r="15" ht="18.35" customHeight="1" spans="1:30">
      <c r="A15" s="135" t="s">
        <v>447</v>
      </c>
      <c r="B15" s="135" t="s">
        <v>344</v>
      </c>
      <c r="C15" s="53">
        <v>1</v>
      </c>
      <c r="D15" s="173">
        <f t="shared" si="0"/>
        <v>2</v>
      </c>
      <c r="E15" s="173">
        <f t="shared" ref="E15:E29" si="3">D15</f>
        <v>2</v>
      </c>
      <c r="F15" s="175">
        <f>(H15*C15)</f>
        <v>200</v>
      </c>
      <c r="G15" s="176">
        <f>F15*5</f>
        <v>1000</v>
      </c>
      <c r="H15" s="180">
        <v>200</v>
      </c>
      <c r="I15" s="181">
        <v>100</v>
      </c>
      <c r="J15" s="55">
        <f t="shared" ref="J15:J29" si="4">F15</f>
        <v>200</v>
      </c>
      <c r="K15" s="55">
        <f t="shared" ref="K15:R15" si="5">$J15*K$30</f>
        <v>208</v>
      </c>
      <c r="L15" s="55">
        <f t="shared" si="5"/>
        <v>216</v>
      </c>
      <c r="M15" s="55">
        <f t="shared" si="5"/>
        <v>224</v>
      </c>
      <c r="N15" s="55">
        <f t="shared" si="5"/>
        <v>232</v>
      </c>
      <c r="O15" s="55">
        <f t="shared" si="5"/>
        <v>248</v>
      </c>
      <c r="P15" s="55">
        <f t="shared" si="5"/>
        <v>264</v>
      </c>
      <c r="Q15" s="55">
        <f t="shared" si="5"/>
        <v>280</v>
      </c>
      <c r="R15" s="55">
        <f t="shared" si="5"/>
        <v>296</v>
      </c>
      <c r="S15" s="55">
        <f t="shared" ref="S15:AD15" si="6">$J15*S$30</f>
        <v>344</v>
      </c>
      <c r="T15" s="55">
        <f t="shared" si="6"/>
        <v>392</v>
      </c>
      <c r="U15" s="55">
        <f t="shared" si="6"/>
        <v>440</v>
      </c>
      <c r="V15" s="55">
        <f t="shared" si="6"/>
        <v>536</v>
      </c>
      <c r="W15" s="55">
        <f t="shared" si="6"/>
        <v>632</v>
      </c>
      <c r="X15" s="55">
        <f t="shared" si="6"/>
        <v>728</v>
      </c>
      <c r="Y15" s="55">
        <f t="shared" si="6"/>
        <v>824</v>
      </c>
      <c r="Z15" s="55">
        <f t="shared" si="6"/>
        <v>872</v>
      </c>
      <c r="AA15" s="55">
        <f t="shared" si="6"/>
        <v>920</v>
      </c>
      <c r="AB15" s="55">
        <f t="shared" si="6"/>
        <v>968</v>
      </c>
      <c r="AC15" s="55">
        <f t="shared" si="6"/>
        <v>1016</v>
      </c>
      <c r="AD15" s="55">
        <f t="shared" si="6"/>
        <v>1064</v>
      </c>
    </row>
    <row r="16" ht="18.35" customHeight="1" spans="1:30">
      <c r="A16" s="135" t="s">
        <v>447</v>
      </c>
      <c r="B16" s="135" t="s">
        <v>448</v>
      </c>
      <c r="C16" s="53">
        <v>1</v>
      </c>
      <c r="D16" s="182">
        <f t="shared" si="0"/>
        <v>0.0015</v>
      </c>
      <c r="E16" s="59">
        <f t="shared" si="3"/>
        <v>0.0015</v>
      </c>
      <c r="F16" s="183">
        <f t="shared" ref="F15:F29" si="7">C16*H16</f>
        <v>0.15</v>
      </c>
      <c r="G16" s="184">
        <f>F16*3</f>
        <v>0.45</v>
      </c>
      <c r="H16" s="185">
        <v>0.15</v>
      </c>
      <c r="I16" s="181">
        <v>100</v>
      </c>
      <c r="J16" s="60">
        <f t="shared" si="4"/>
        <v>0.15</v>
      </c>
      <c r="K16" s="60">
        <f t="shared" ref="K16:AD16" si="8">$J16*K$30</f>
        <v>0.156</v>
      </c>
      <c r="L16" s="60">
        <f t="shared" si="8"/>
        <v>0.162</v>
      </c>
      <c r="M16" s="60">
        <f t="shared" si="8"/>
        <v>0.168</v>
      </c>
      <c r="N16" s="60">
        <f t="shared" si="8"/>
        <v>0.174</v>
      </c>
      <c r="O16" s="60">
        <f t="shared" si="8"/>
        <v>0.186</v>
      </c>
      <c r="P16" s="60">
        <f t="shared" si="8"/>
        <v>0.198</v>
      </c>
      <c r="Q16" s="60">
        <f t="shared" si="8"/>
        <v>0.21</v>
      </c>
      <c r="R16" s="60">
        <f t="shared" si="8"/>
        <v>0.222</v>
      </c>
      <c r="S16" s="60">
        <f t="shared" si="8"/>
        <v>0.258</v>
      </c>
      <c r="T16" s="60">
        <f t="shared" si="8"/>
        <v>0.294</v>
      </c>
      <c r="U16" s="60">
        <f t="shared" si="8"/>
        <v>0.33</v>
      </c>
      <c r="V16" s="60">
        <f t="shared" si="8"/>
        <v>0.402</v>
      </c>
      <c r="W16" s="60">
        <f t="shared" si="8"/>
        <v>0.474</v>
      </c>
      <c r="X16" s="60">
        <f t="shared" si="8"/>
        <v>0.546</v>
      </c>
      <c r="Y16" s="60">
        <f t="shared" si="8"/>
        <v>0.618</v>
      </c>
      <c r="Z16" s="60">
        <f t="shared" si="8"/>
        <v>0.654</v>
      </c>
      <c r="AA16" s="60">
        <f t="shared" si="8"/>
        <v>0.69</v>
      </c>
      <c r="AB16" s="60">
        <f t="shared" si="8"/>
        <v>0.726</v>
      </c>
      <c r="AC16" s="60">
        <f t="shared" si="8"/>
        <v>0.762</v>
      </c>
      <c r="AD16" s="60">
        <f t="shared" si="8"/>
        <v>0.798</v>
      </c>
    </row>
    <row r="17" ht="18.35" customHeight="1" spans="1:30">
      <c r="A17" s="135" t="s">
        <v>447</v>
      </c>
      <c r="B17" s="135" t="s">
        <v>449</v>
      </c>
      <c r="C17" s="53">
        <v>1</v>
      </c>
      <c r="D17" s="182">
        <f t="shared" si="0"/>
        <v>0.001</v>
      </c>
      <c r="E17" s="182">
        <f t="shared" si="3"/>
        <v>0.001</v>
      </c>
      <c r="F17" s="183">
        <f t="shared" si="7"/>
        <v>0.1</v>
      </c>
      <c r="G17" s="176"/>
      <c r="H17" s="185">
        <v>0.1</v>
      </c>
      <c r="I17" s="181">
        <v>100</v>
      </c>
      <c r="J17" s="60">
        <f t="shared" si="4"/>
        <v>0.1</v>
      </c>
      <c r="K17" s="59">
        <f t="shared" ref="K17:AD17" si="9">$J17*K$30</f>
        <v>0.104</v>
      </c>
      <c r="L17" s="59">
        <f t="shared" si="9"/>
        <v>0.108</v>
      </c>
      <c r="M17" s="59">
        <f t="shared" si="9"/>
        <v>0.112</v>
      </c>
      <c r="N17" s="59">
        <f t="shared" si="9"/>
        <v>0.116</v>
      </c>
      <c r="O17" s="59">
        <f t="shared" si="9"/>
        <v>0.124</v>
      </c>
      <c r="P17" s="59">
        <f t="shared" si="9"/>
        <v>0.132</v>
      </c>
      <c r="Q17" s="59">
        <f t="shared" si="9"/>
        <v>0.14</v>
      </c>
      <c r="R17" s="59">
        <f t="shared" si="9"/>
        <v>0.148</v>
      </c>
      <c r="S17" s="59">
        <f t="shared" si="9"/>
        <v>0.172</v>
      </c>
      <c r="T17" s="59">
        <f t="shared" si="9"/>
        <v>0.196</v>
      </c>
      <c r="U17" s="59">
        <f t="shared" si="9"/>
        <v>0.22</v>
      </c>
      <c r="V17" s="59">
        <f t="shared" si="9"/>
        <v>0.268</v>
      </c>
      <c r="W17" s="59">
        <f t="shared" si="9"/>
        <v>0.316</v>
      </c>
      <c r="X17" s="59">
        <f t="shared" si="9"/>
        <v>0.364</v>
      </c>
      <c r="Y17" s="59">
        <f t="shared" si="9"/>
        <v>0.412</v>
      </c>
      <c r="Z17" s="59">
        <f t="shared" si="9"/>
        <v>0.436</v>
      </c>
      <c r="AA17" s="59">
        <f t="shared" si="9"/>
        <v>0.46</v>
      </c>
      <c r="AB17" s="59">
        <f t="shared" si="9"/>
        <v>0.484</v>
      </c>
      <c r="AC17" s="59">
        <f t="shared" si="9"/>
        <v>0.508</v>
      </c>
      <c r="AD17" s="59">
        <f t="shared" si="9"/>
        <v>0.532</v>
      </c>
    </row>
    <row r="18" ht="18.35" customHeight="1" spans="1:30">
      <c r="A18" s="135" t="s">
        <v>447</v>
      </c>
      <c r="B18" s="135" t="s">
        <v>450</v>
      </c>
      <c r="C18" s="53">
        <v>1</v>
      </c>
      <c r="D18" s="182">
        <f t="shared" si="0"/>
        <v>0.001</v>
      </c>
      <c r="E18" s="182">
        <f t="shared" si="3"/>
        <v>0.001</v>
      </c>
      <c r="F18" s="183">
        <f t="shared" si="7"/>
        <v>0.1</v>
      </c>
      <c r="G18" s="176"/>
      <c r="H18" s="185">
        <v>0.1</v>
      </c>
      <c r="I18" s="181">
        <v>100</v>
      </c>
      <c r="J18" s="60">
        <f t="shared" si="4"/>
        <v>0.1</v>
      </c>
      <c r="K18" s="59">
        <f t="shared" ref="K18:AD18" si="10">$J18*K$30</f>
        <v>0.104</v>
      </c>
      <c r="L18" s="59">
        <f t="shared" si="10"/>
        <v>0.108</v>
      </c>
      <c r="M18" s="59">
        <f t="shared" si="10"/>
        <v>0.112</v>
      </c>
      <c r="N18" s="59">
        <f t="shared" si="10"/>
        <v>0.116</v>
      </c>
      <c r="O18" s="59">
        <f t="shared" si="10"/>
        <v>0.124</v>
      </c>
      <c r="P18" s="59">
        <f t="shared" si="10"/>
        <v>0.132</v>
      </c>
      <c r="Q18" s="59">
        <f t="shared" si="10"/>
        <v>0.14</v>
      </c>
      <c r="R18" s="59">
        <f t="shared" si="10"/>
        <v>0.148</v>
      </c>
      <c r="S18" s="59">
        <f t="shared" si="10"/>
        <v>0.172</v>
      </c>
      <c r="T18" s="59">
        <f t="shared" si="10"/>
        <v>0.196</v>
      </c>
      <c r="U18" s="59">
        <f t="shared" si="10"/>
        <v>0.22</v>
      </c>
      <c r="V18" s="59">
        <f t="shared" si="10"/>
        <v>0.268</v>
      </c>
      <c r="W18" s="59">
        <f t="shared" si="10"/>
        <v>0.316</v>
      </c>
      <c r="X18" s="59">
        <f t="shared" si="10"/>
        <v>0.364</v>
      </c>
      <c r="Y18" s="59">
        <f t="shared" si="10"/>
        <v>0.412</v>
      </c>
      <c r="Z18" s="59">
        <f t="shared" si="10"/>
        <v>0.436</v>
      </c>
      <c r="AA18" s="59">
        <f t="shared" si="10"/>
        <v>0.46</v>
      </c>
      <c r="AB18" s="59">
        <f t="shared" si="10"/>
        <v>0.484</v>
      </c>
      <c r="AC18" s="59">
        <f t="shared" si="10"/>
        <v>0.508</v>
      </c>
      <c r="AD18" s="59">
        <f t="shared" si="10"/>
        <v>0.532</v>
      </c>
    </row>
    <row r="19" ht="18.35" customHeight="1" spans="1:30">
      <c r="A19" s="135" t="s">
        <v>447</v>
      </c>
      <c r="B19" s="135" t="s">
        <v>451</v>
      </c>
      <c r="C19" s="53">
        <v>1</v>
      </c>
      <c r="D19" s="182">
        <f t="shared" si="0"/>
        <v>0.001</v>
      </c>
      <c r="E19" s="182">
        <f t="shared" si="3"/>
        <v>0.001</v>
      </c>
      <c r="F19" s="183">
        <f t="shared" si="7"/>
        <v>0.1</v>
      </c>
      <c r="G19" s="176"/>
      <c r="H19" s="185">
        <v>0.1</v>
      </c>
      <c r="I19" s="181">
        <v>100</v>
      </c>
      <c r="J19" s="60">
        <f t="shared" si="4"/>
        <v>0.1</v>
      </c>
      <c r="K19" s="59">
        <f t="shared" ref="K19:AD19" si="11">$J19*K$30</f>
        <v>0.104</v>
      </c>
      <c r="L19" s="59">
        <f t="shared" si="11"/>
        <v>0.108</v>
      </c>
      <c r="M19" s="59">
        <f t="shared" si="11"/>
        <v>0.112</v>
      </c>
      <c r="N19" s="59">
        <f t="shared" si="11"/>
        <v>0.116</v>
      </c>
      <c r="O19" s="59">
        <f t="shared" si="11"/>
        <v>0.124</v>
      </c>
      <c r="P19" s="59">
        <f t="shared" si="11"/>
        <v>0.132</v>
      </c>
      <c r="Q19" s="59">
        <f t="shared" si="11"/>
        <v>0.14</v>
      </c>
      <c r="R19" s="59">
        <f t="shared" si="11"/>
        <v>0.148</v>
      </c>
      <c r="S19" s="59">
        <f t="shared" si="11"/>
        <v>0.172</v>
      </c>
      <c r="T19" s="59">
        <f t="shared" si="11"/>
        <v>0.196</v>
      </c>
      <c r="U19" s="59">
        <f t="shared" si="11"/>
        <v>0.22</v>
      </c>
      <c r="V19" s="59">
        <f t="shared" si="11"/>
        <v>0.268</v>
      </c>
      <c r="W19" s="59">
        <f t="shared" si="11"/>
        <v>0.316</v>
      </c>
      <c r="X19" s="59">
        <f t="shared" si="11"/>
        <v>0.364</v>
      </c>
      <c r="Y19" s="59">
        <f t="shared" si="11"/>
        <v>0.412</v>
      </c>
      <c r="Z19" s="59">
        <f t="shared" si="11"/>
        <v>0.436</v>
      </c>
      <c r="AA19" s="59">
        <f t="shared" si="11"/>
        <v>0.46</v>
      </c>
      <c r="AB19" s="59">
        <f t="shared" si="11"/>
        <v>0.484</v>
      </c>
      <c r="AC19" s="59">
        <f t="shared" si="11"/>
        <v>0.508</v>
      </c>
      <c r="AD19" s="59">
        <f t="shared" si="11"/>
        <v>0.532</v>
      </c>
    </row>
    <row r="20" ht="18.35" customHeight="1" spans="1:30">
      <c r="A20" s="135" t="s">
        <v>447</v>
      </c>
      <c r="B20" s="135" t="s">
        <v>452</v>
      </c>
      <c r="C20" s="53">
        <v>1</v>
      </c>
      <c r="D20" s="182">
        <f t="shared" si="0"/>
        <v>0.001</v>
      </c>
      <c r="E20" s="182">
        <f t="shared" si="3"/>
        <v>0.001</v>
      </c>
      <c r="F20" s="183">
        <f t="shared" si="7"/>
        <v>0.1</v>
      </c>
      <c r="G20" s="176"/>
      <c r="H20" s="185">
        <v>0.1</v>
      </c>
      <c r="I20" s="181">
        <v>100</v>
      </c>
      <c r="J20" s="60">
        <f t="shared" si="4"/>
        <v>0.1</v>
      </c>
      <c r="K20" s="59">
        <f t="shared" ref="K20:AD20" si="12">$J20*K$30</f>
        <v>0.104</v>
      </c>
      <c r="L20" s="59">
        <f t="shared" si="12"/>
        <v>0.108</v>
      </c>
      <c r="M20" s="59">
        <f t="shared" si="12"/>
        <v>0.112</v>
      </c>
      <c r="N20" s="59">
        <f t="shared" si="12"/>
        <v>0.116</v>
      </c>
      <c r="O20" s="59">
        <f t="shared" si="12"/>
        <v>0.124</v>
      </c>
      <c r="P20" s="59">
        <f t="shared" si="12"/>
        <v>0.132</v>
      </c>
      <c r="Q20" s="59">
        <f t="shared" si="12"/>
        <v>0.14</v>
      </c>
      <c r="R20" s="59">
        <f t="shared" si="12"/>
        <v>0.148</v>
      </c>
      <c r="S20" s="59">
        <f t="shared" si="12"/>
        <v>0.172</v>
      </c>
      <c r="T20" s="59">
        <f t="shared" si="12"/>
        <v>0.196</v>
      </c>
      <c r="U20" s="59">
        <f t="shared" si="12"/>
        <v>0.22</v>
      </c>
      <c r="V20" s="59">
        <f t="shared" si="12"/>
        <v>0.268</v>
      </c>
      <c r="W20" s="59">
        <f t="shared" si="12"/>
        <v>0.316</v>
      </c>
      <c r="X20" s="59">
        <f t="shared" si="12"/>
        <v>0.364</v>
      </c>
      <c r="Y20" s="59">
        <f t="shared" si="12"/>
        <v>0.412</v>
      </c>
      <c r="Z20" s="59">
        <f t="shared" si="12"/>
        <v>0.436</v>
      </c>
      <c r="AA20" s="59">
        <f t="shared" si="12"/>
        <v>0.46</v>
      </c>
      <c r="AB20" s="59">
        <f t="shared" si="12"/>
        <v>0.484</v>
      </c>
      <c r="AC20" s="59">
        <f t="shared" si="12"/>
        <v>0.508</v>
      </c>
      <c r="AD20" s="59">
        <f t="shared" si="12"/>
        <v>0.532</v>
      </c>
    </row>
    <row r="21" ht="18.35" customHeight="1" spans="1:30">
      <c r="A21" s="100" t="s">
        <v>447</v>
      </c>
      <c r="B21" s="135" t="s">
        <v>343</v>
      </c>
      <c r="C21" s="53">
        <v>1</v>
      </c>
      <c r="D21" s="174">
        <f t="shared" si="0"/>
        <v>0.1</v>
      </c>
      <c r="E21" s="174">
        <f t="shared" si="3"/>
        <v>0.1</v>
      </c>
      <c r="F21" s="179">
        <f t="shared" si="7"/>
        <v>10</v>
      </c>
      <c r="G21" s="176">
        <f>F21*2</f>
        <v>20</v>
      </c>
      <c r="H21" s="186">
        <v>10</v>
      </c>
      <c r="I21" s="181">
        <v>100</v>
      </c>
      <c r="J21" s="173">
        <f t="shared" si="4"/>
        <v>10</v>
      </c>
      <c r="K21" s="173">
        <f t="shared" ref="K21:AD21" si="13">$J21*K$30</f>
        <v>10.4</v>
      </c>
      <c r="L21" s="173">
        <f t="shared" si="13"/>
        <v>10.8</v>
      </c>
      <c r="M21" s="173">
        <f t="shared" si="13"/>
        <v>11.2</v>
      </c>
      <c r="N21" s="173">
        <f t="shared" si="13"/>
        <v>11.6</v>
      </c>
      <c r="O21" s="173">
        <f t="shared" si="13"/>
        <v>12.4</v>
      </c>
      <c r="P21" s="173">
        <f t="shared" si="13"/>
        <v>13.2</v>
      </c>
      <c r="Q21" s="173">
        <f t="shared" si="13"/>
        <v>14</v>
      </c>
      <c r="R21" s="173">
        <f t="shared" si="13"/>
        <v>14.8</v>
      </c>
      <c r="S21" s="173">
        <f t="shared" si="13"/>
        <v>17.2</v>
      </c>
      <c r="T21" s="173">
        <f t="shared" si="13"/>
        <v>19.6</v>
      </c>
      <c r="U21" s="173">
        <f t="shared" si="13"/>
        <v>22</v>
      </c>
      <c r="V21" s="173">
        <f t="shared" si="13"/>
        <v>26.8</v>
      </c>
      <c r="W21" s="173">
        <f t="shared" si="13"/>
        <v>31.6</v>
      </c>
      <c r="X21" s="173">
        <f t="shared" si="13"/>
        <v>36.4</v>
      </c>
      <c r="Y21" s="173">
        <f t="shared" si="13"/>
        <v>41.2</v>
      </c>
      <c r="Z21" s="173">
        <f t="shared" si="13"/>
        <v>43.6</v>
      </c>
      <c r="AA21" s="173">
        <f t="shared" si="13"/>
        <v>46</v>
      </c>
      <c r="AB21" s="173">
        <f t="shared" si="13"/>
        <v>48.4</v>
      </c>
      <c r="AC21" s="173">
        <f t="shared" si="13"/>
        <v>50.8</v>
      </c>
      <c r="AD21" s="173">
        <f t="shared" si="13"/>
        <v>53.2</v>
      </c>
    </row>
    <row r="22" customFormat="1" ht="18.35" customHeight="1" spans="1:30">
      <c r="A22" s="100" t="s">
        <v>447</v>
      </c>
      <c r="B22" s="135" t="s">
        <v>453</v>
      </c>
      <c r="C22" s="53">
        <v>1</v>
      </c>
      <c r="D22" s="182">
        <f t="shared" si="0"/>
        <v>0.001</v>
      </c>
      <c r="E22" s="182">
        <f t="shared" si="3"/>
        <v>0.001</v>
      </c>
      <c r="F22" s="183">
        <f t="shared" si="7"/>
        <v>0.1</v>
      </c>
      <c r="G22" s="184">
        <f>F22*6</f>
        <v>0.6</v>
      </c>
      <c r="H22" s="185">
        <v>0.1</v>
      </c>
      <c r="I22" s="181">
        <v>100</v>
      </c>
      <c r="J22" s="173">
        <f t="shared" si="4"/>
        <v>0.1</v>
      </c>
      <c r="K22" s="173">
        <f t="shared" ref="K22:AD22" si="14">$J22*K$30</f>
        <v>0.104</v>
      </c>
      <c r="L22" s="173">
        <f t="shared" si="14"/>
        <v>0.108</v>
      </c>
      <c r="M22" s="173">
        <f t="shared" si="14"/>
        <v>0.112</v>
      </c>
      <c r="N22" s="173">
        <f t="shared" si="14"/>
        <v>0.116</v>
      </c>
      <c r="O22" s="173">
        <f t="shared" si="14"/>
        <v>0.124</v>
      </c>
      <c r="P22" s="173">
        <f t="shared" si="14"/>
        <v>0.132</v>
      </c>
      <c r="Q22" s="173">
        <f t="shared" si="14"/>
        <v>0.14</v>
      </c>
      <c r="R22" s="173">
        <f t="shared" si="14"/>
        <v>0.148</v>
      </c>
      <c r="S22" s="173">
        <f t="shared" si="14"/>
        <v>0.172</v>
      </c>
      <c r="T22" s="173">
        <f t="shared" si="14"/>
        <v>0.196</v>
      </c>
      <c r="U22" s="173">
        <f t="shared" si="14"/>
        <v>0.22</v>
      </c>
      <c r="V22" s="173">
        <f t="shared" si="14"/>
        <v>0.268</v>
      </c>
      <c r="W22" s="173">
        <f t="shared" si="14"/>
        <v>0.316</v>
      </c>
      <c r="X22" s="173">
        <f t="shared" si="14"/>
        <v>0.364</v>
      </c>
      <c r="Y22" s="173">
        <f t="shared" si="14"/>
        <v>0.412</v>
      </c>
      <c r="Z22" s="173">
        <f t="shared" si="14"/>
        <v>0.436</v>
      </c>
      <c r="AA22" s="173">
        <f t="shared" si="14"/>
        <v>0.46</v>
      </c>
      <c r="AB22" s="173">
        <f t="shared" si="14"/>
        <v>0.484</v>
      </c>
      <c r="AC22" s="173">
        <f t="shared" si="14"/>
        <v>0.508</v>
      </c>
      <c r="AD22" s="173">
        <f t="shared" si="14"/>
        <v>0.532</v>
      </c>
    </row>
    <row r="23" ht="18.35" customHeight="1" spans="1:30">
      <c r="A23" s="49" t="s">
        <v>387</v>
      </c>
      <c r="B23" s="49" t="s">
        <v>454</v>
      </c>
      <c r="C23" s="53">
        <v>1</v>
      </c>
      <c r="D23" s="173">
        <f t="shared" si="0"/>
        <v>1</v>
      </c>
      <c r="E23" s="173">
        <f t="shared" si="3"/>
        <v>1</v>
      </c>
      <c r="F23" s="54">
        <f t="shared" si="7"/>
        <v>100</v>
      </c>
      <c r="G23" s="176"/>
      <c r="H23" s="187">
        <v>100</v>
      </c>
      <c r="I23" s="181">
        <v>100</v>
      </c>
      <c r="J23" s="55">
        <f t="shared" si="4"/>
        <v>100</v>
      </c>
      <c r="K23" s="55">
        <f t="shared" ref="K23:AD23" si="15">$J23*K$30</f>
        <v>104</v>
      </c>
      <c r="L23" s="55">
        <f t="shared" si="15"/>
        <v>108</v>
      </c>
      <c r="M23" s="55">
        <f t="shared" si="15"/>
        <v>112</v>
      </c>
      <c r="N23" s="55">
        <f t="shared" si="15"/>
        <v>116</v>
      </c>
      <c r="O23" s="55">
        <f t="shared" si="15"/>
        <v>124</v>
      </c>
      <c r="P23" s="55">
        <f t="shared" si="15"/>
        <v>132</v>
      </c>
      <c r="Q23" s="55">
        <f t="shared" si="15"/>
        <v>140</v>
      </c>
      <c r="R23" s="55">
        <f t="shared" si="15"/>
        <v>148</v>
      </c>
      <c r="S23" s="55">
        <f t="shared" si="15"/>
        <v>172</v>
      </c>
      <c r="T23" s="55">
        <f t="shared" si="15"/>
        <v>196</v>
      </c>
      <c r="U23" s="55">
        <f t="shared" si="15"/>
        <v>220</v>
      </c>
      <c r="V23" s="55">
        <f t="shared" si="15"/>
        <v>268</v>
      </c>
      <c r="W23" s="55">
        <f t="shared" si="15"/>
        <v>316</v>
      </c>
      <c r="X23" s="55">
        <f t="shared" si="15"/>
        <v>364</v>
      </c>
      <c r="Y23" s="55">
        <f t="shared" si="15"/>
        <v>412</v>
      </c>
      <c r="Z23" s="55">
        <f t="shared" si="15"/>
        <v>436</v>
      </c>
      <c r="AA23" s="55">
        <f t="shared" si="15"/>
        <v>460</v>
      </c>
      <c r="AB23" s="55">
        <f t="shared" si="15"/>
        <v>484</v>
      </c>
      <c r="AC23" s="55">
        <f t="shared" si="15"/>
        <v>508</v>
      </c>
      <c r="AD23" s="55">
        <f t="shared" si="15"/>
        <v>532</v>
      </c>
    </row>
    <row r="24" ht="18.35" customHeight="1" spans="1:30">
      <c r="A24" s="49" t="s">
        <v>387</v>
      </c>
      <c r="B24" s="49" t="s">
        <v>455</v>
      </c>
      <c r="C24" s="53">
        <v>1</v>
      </c>
      <c r="D24" s="182">
        <f t="shared" si="0"/>
        <v>0.001</v>
      </c>
      <c r="E24" s="182">
        <f t="shared" si="3"/>
        <v>0.001</v>
      </c>
      <c r="F24" s="183">
        <f t="shared" si="7"/>
        <v>0.1</v>
      </c>
      <c r="G24" s="176"/>
      <c r="H24" s="185">
        <v>0.1</v>
      </c>
      <c r="I24" s="181">
        <v>100</v>
      </c>
      <c r="J24" s="60">
        <f t="shared" si="4"/>
        <v>0.1</v>
      </c>
      <c r="K24" s="60">
        <f t="shared" ref="K24:AD24" si="16">$J24*K$30</f>
        <v>0.104</v>
      </c>
      <c r="L24" s="60">
        <f t="shared" si="16"/>
        <v>0.108</v>
      </c>
      <c r="M24" s="60">
        <f t="shared" si="16"/>
        <v>0.112</v>
      </c>
      <c r="N24" s="60">
        <f t="shared" si="16"/>
        <v>0.116</v>
      </c>
      <c r="O24" s="60">
        <f t="shared" si="16"/>
        <v>0.124</v>
      </c>
      <c r="P24" s="60">
        <f t="shared" si="16"/>
        <v>0.132</v>
      </c>
      <c r="Q24" s="60">
        <f t="shared" si="16"/>
        <v>0.14</v>
      </c>
      <c r="R24" s="60">
        <f t="shared" si="16"/>
        <v>0.148</v>
      </c>
      <c r="S24" s="60">
        <f t="shared" si="16"/>
        <v>0.172</v>
      </c>
      <c r="T24" s="60">
        <f t="shared" si="16"/>
        <v>0.196</v>
      </c>
      <c r="U24" s="60">
        <f t="shared" si="16"/>
        <v>0.22</v>
      </c>
      <c r="V24" s="60">
        <f t="shared" si="16"/>
        <v>0.268</v>
      </c>
      <c r="W24" s="60">
        <f t="shared" si="16"/>
        <v>0.316</v>
      </c>
      <c r="X24" s="60">
        <f t="shared" si="16"/>
        <v>0.364</v>
      </c>
      <c r="Y24" s="60">
        <f t="shared" si="16"/>
        <v>0.412</v>
      </c>
      <c r="Z24" s="60">
        <f t="shared" si="16"/>
        <v>0.436</v>
      </c>
      <c r="AA24" s="60">
        <f t="shared" si="16"/>
        <v>0.46</v>
      </c>
      <c r="AB24" s="60">
        <f t="shared" si="16"/>
        <v>0.484</v>
      </c>
      <c r="AC24" s="60">
        <f t="shared" si="16"/>
        <v>0.508</v>
      </c>
      <c r="AD24" s="60">
        <f t="shared" si="16"/>
        <v>0.532</v>
      </c>
    </row>
    <row r="25" ht="18.35" customHeight="1" spans="1:30">
      <c r="A25" s="49" t="s">
        <v>387</v>
      </c>
      <c r="B25" s="49" t="s">
        <v>456</v>
      </c>
      <c r="C25" s="53">
        <v>1</v>
      </c>
      <c r="D25" s="182">
        <f t="shared" si="0"/>
        <v>0.001</v>
      </c>
      <c r="E25" s="182">
        <f t="shared" si="3"/>
        <v>0.001</v>
      </c>
      <c r="F25" s="183">
        <f t="shared" si="7"/>
        <v>0.1</v>
      </c>
      <c r="G25" s="176"/>
      <c r="H25" s="185">
        <v>0.1</v>
      </c>
      <c r="I25" s="181">
        <v>100</v>
      </c>
      <c r="J25" s="60">
        <f t="shared" si="4"/>
        <v>0.1</v>
      </c>
      <c r="K25" s="60">
        <f t="shared" ref="K25:AD25" si="17">$J25*K$30</f>
        <v>0.104</v>
      </c>
      <c r="L25" s="60">
        <f t="shared" si="17"/>
        <v>0.108</v>
      </c>
      <c r="M25" s="60">
        <f t="shared" si="17"/>
        <v>0.112</v>
      </c>
      <c r="N25" s="60">
        <f t="shared" si="17"/>
        <v>0.116</v>
      </c>
      <c r="O25" s="60">
        <f t="shared" si="17"/>
        <v>0.124</v>
      </c>
      <c r="P25" s="60">
        <f t="shared" si="17"/>
        <v>0.132</v>
      </c>
      <c r="Q25" s="60">
        <f t="shared" si="17"/>
        <v>0.14</v>
      </c>
      <c r="R25" s="60">
        <f t="shared" si="17"/>
        <v>0.148</v>
      </c>
      <c r="S25" s="60">
        <f t="shared" si="17"/>
        <v>0.172</v>
      </c>
      <c r="T25" s="60">
        <f t="shared" si="17"/>
        <v>0.196</v>
      </c>
      <c r="U25" s="60">
        <f t="shared" si="17"/>
        <v>0.22</v>
      </c>
      <c r="V25" s="60">
        <f t="shared" si="17"/>
        <v>0.268</v>
      </c>
      <c r="W25" s="60">
        <f t="shared" si="17"/>
        <v>0.316</v>
      </c>
      <c r="X25" s="60">
        <f t="shared" si="17"/>
        <v>0.364</v>
      </c>
      <c r="Y25" s="60">
        <f t="shared" si="17"/>
        <v>0.412</v>
      </c>
      <c r="Z25" s="60">
        <f t="shared" si="17"/>
        <v>0.436</v>
      </c>
      <c r="AA25" s="60">
        <f t="shared" si="17"/>
        <v>0.46</v>
      </c>
      <c r="AB25" s="60">
        <f t="shared" si="17"/>
        <v>0.484</v>
      </c>
      <c r="AC25" s="60">
        <f t="shared" si="17"/>
        <v>0.508</v>
      </c>
      <c r="AD25" s="60">
        <f t="shared" si="17"/>
        <v>0.532</v>
      </c>
    </row>
    <row r="26" ht="18.35" customHeight="1" spans="1:30">
      <c r="A26" s="49" t="s">
        <v>387</v>
      </c>
      <c r="B26" s="49" t="s">
        <v>457</v>
      </c>
      <c r="C26" s="53">
        <v>1</v>
      </c>
      <c r="D26" s="182">
        <f t="shared" si="0"/>
        <v>0.001</v>
      </c>
      <c r="E26" s="182">
        <f t="shared" si="3"/>
        <v>0.001</v>
      </c>
      <c r="F26" s="183">
        <f t="shared" si="7"/>
        <v>0.1</v>
      </c>
      <c r="G26" s="176"/>
      <c r="H26" s="185">
        <v>0.1</v>
      </c>
      <c r="I26" s="181">
        <v>100</v>
      </c>
      <c r="J26" s="60">
        <f t="shared" si="4"/>
        <v>0.1</v>
      </c>
      <c r="K26" s="60">
        <f t="shared" ref="K26:AD26" si="18">$J26*K$30</f>
        <v>0.104</v>
      </c>
      <c r="L26" s="60">
        <f t="shared" si="18"/>
        <v>0.108</v>
      </c>
      <c r="M26" s="60">
        <f t="shared" si="18"/>
        <v>0.112</v>
      </c>
      <c r="N26" s="60">
        <f t="shared" si="18"/>
        <v>0.116</v>
      </c>
      <c r="O26" s="60">
        <f t="shared" si="18"/>
        <v>0.124</v>
      </c>
      <c r="P26" s="60">
        <f t="shared" si="18"/>
        <v>0.132</v>
      </c>
      <c r="Q26" s="60">
        <f t="shared" si="18"/>
        <v>0.14</v>
      </c>
      <c r="R26" s="60">
        <f t="shared" si="18"/>
        <v>0.148</v>
      </c>
      <c r="S26" s="60">
        <f t="shared" si="18"/>
        <v>0.172</v>
      </c>
      <c r="T26" s="60">
        <f t="shared" si="18"/>
        <v>0.196</v>
      </c>
      <c r="U26" s="60">
        <f t="shared" si="18"/>
        <v>0.22</v>
      </c>
      <c r="V26" s="60">
        <f t="shared" si="18"/>
        <v>0.268</v>
      </c>
      <c r="W26" s="60">
        <f t="shared" si="18"/>
        <v>0.316</v>
      </c>
      <c r="X26" s="60">
        <f t="shared" si="18"/>
        <v>0.364</v>
      </c>
      <c r="Y26" s="60">
        <f t="shared" si="18"/>
        <v>0.412</v>
      </c>
      <c r="Z26" s="60">
        <f t="shared" si="18"/>
        <v>0.436</v>
      </c>
      <c r="AA26" s="60">
        <f t="shared" si="18"/>
        <v>0.46</v>
      </c>
      <c r="AB26" s="60">
        <f t="shared" si="18"/>
        <v>0.484</v>
      </c>
      <c r="AC26" s="60">
        <f t="shared" si="18"/>
        <v>0.508</v>
      </c>
      <c r="AD26" s="60">
        <f t="shared" si="18"/>
        <v>0.532</v>
      </c>
    </row>
    <row r="27" ht="18.35" customHeight="1" spans="1:30">
      <c r="A27" s="49" t="s">
        <v>387</v>
      </c>
      <c r="B27" s="49" t="s">
        <v>347</v>
      </c>
      <c r="C27" s="53">
        <v>1</v>
      </c>
      <c r="D27" s="182">
        <f t="shared" si="0"/>
        <v>0.001</v>
      </c>
      <c r="E27" s="182">
        <f t="shared" si="3"/>
        <v>0.001</v>
      </c>
      <c r="F27" s="183">
        <f t="shared" si="7"/>
        <v>0.1</v>
      </c>
      <c r="G27" s="176"/>
      <c r="H27" s="185">
        <v>0.1</v>
      </c>
      <c r="I27" s="181">
        <v>100</v>
      </c>
      <c r="J27" s="60">
        <f t="shared" si="4"/>
        <v>0.1</v>
      </c>
      <c r="K27" s="60">
        <f t="shared" ref="K27:AD27" si="19">$J27*K$30</f>
        <v>0.104</v>
      </c>
      <c r="L27" s="60">
        <f t="shared" si="19"/>
        <v>0.108</v>
      </c>
      <c r="M27" s="60">
        <f t="shared" si="19"/>
        <v>0.112</v>
      </c>
      <c r="N27" s="60">
        <f t="shared" si="19"/>
        <v>0.116</v>
      </c>
      <c r="O27" s="60">
        <f t="shared" si="19"/>
        <v>0.124</v>
      </c>
      <c r="P27" s="60">
        <f t="shared" si="19"/>
        <v>0.132</v>
      </c>
      <c r="Q27" s="60">
        <f t="shared" si="19"/>
        <v>0.14</v>
      </c>
      <c r="R27" s="60">
        <f t="shared" si="19"/>
        <v>0.148</v>
      </c>
      <c r="S27" s="60">
        <f t="shared" si="19"/>
        <v>0.172</v>
      </c>
      <c r="T27" s="60">
        <f t="shared" si="19"/>
        <v>0.196</v>
      </c>
      <c r="U27" s="60">
        <f t="shared" si="19"/>
        <v>0.22</v>
      </c>
      <c r="V27" s="60">
        <f t="shared" si="19"/>
        <v>0.268</v>
      </c>
      <c r="W27" s="60">
        <f t="shared" si="19"/>
        <v>0.316</v>
      </c>
      <c r="X27" s="60">
        <f t="shared" si="19"/>
        <v>0.364</v>
      </c>
      <c r="Y27" s="60">
        <f t="shared" si="19"/>
        <v>0.412</v>
      </c>
      <c r="Z27" s="60">
        <f t="shared" si="19"/>
        <v>0.436</v>
      </c>
      <c r="AA27" s="60">
        <f t="shared" si="19"/>
        <v>0.46</v>
      </c>
      <c r="AB27" s="60">
        <f t="shared" si="19"/>
        <v>0.484</v>
      </c>
      <c r="AC27" s="60">
        <f t="shared" si="19"/>
        <v>0.508</v>
      </c>
      <c r="AD27" s="60">
        <f t="shared" si="19"/>
        <v>0.532</v>
      </c>
    </row>
    <row r="28" ht="18.35" customHeight="1" spans="1:30">
      <c r="A28" s="188" t="s">
        <v>387</v>
      </c>
      <c r="B28" s="188" t="s">
        <v>346</v>
      </c>
      <c r="C28" s="53">
        <v>1</v>
      </c>
      <c r="D28" s="182">
        <f t="shared" si="0"/>
        <v>0.001</v>
      </c>
      <c r="E28" s="182">
        <f t="shared" si="3"/>
        <v>0.001</v>
      </c>
      <c r="F28" s="183">
        <f t="shared" si="7"/>
        <v>0.1</v>
      </c>
      <c r="G28" s="189"/>
      <c r="H28" s="185">
        <v>0.1</v>
      </c>
      <c r="I28" s="190">
        <v>100</v>
      </c>
      <c r="J28" s="191">
        <f t="shared" si="4"/>
        <v>0.1</v>
      </c>
      <c r="K28" s="60">
        <f t="shared" ref="K28:AD28" si="20">$J28*K$30</f>
        <v>0.104</v>
      </c>
      <c r="L28" s="60">
        <f t="shared" si="20"/>
        <v>0.108</v>
      </c>
      <c r="M28" s="60">
        <f t="shared" si="20"/>
        <v>0.112</v>
      </c>
      <c r="N28" s="60">
        <f t="shared" si="20"/>
        <v>0.116</v>
      </c>
      <c r="O28" s="60">
        <f t="shared" si="20"/>
        <v>0.124</v>
      </c>
      <c r="P28" s="60">
        <f t="shared" si="20"/>
        <v>0.132</v>
      </c>
      <c r="Q28" s="60">
        <f t="shared" si="20"/>
        <v>0.14</v>
      </c>
      <c r="R28" s="60">
        <f t="shared" si="20"/>
        <v>0.148</v>
      </c>
      <c r="S28" s="60">
        <f t="shared" si="20"/>
        <v>0.172</v>
      </c>
      <c r="T28" s="60">
        <f t="shared" si="20"/>
        <v>0.196</v>
      </c>
      <c r="U28" s="60">
        <f t="shared" si="20"/>
        <v>0.22</v>
      </c>
      <c r="V28" s="60">
        <f t="shared" si="20"/>
        <v>0.268</v>
      </c>
      <c r="W28" s="60">
        <f t="shared" si="20"/>
        <v>0.316</v>
      </c>
      <c r="X28" s="60">
        <f t="shared" si="20"/>
        <v>0.364</v>
      </c>
      <c r="Y28" s="60">
        <f t="shared" si="20"/>
        <v>0.412</v>
      </c>
      <c r="Z28" s="60">
        <f t="shared" si="20"/>
        <v>0.436</v>
      </c>
      <c r="AA28" s="60">
        <f t="shared" si="20"/>
        <v>0.46</v>
      </c>
      <c r="AB28" s="60">
        <f t="shared" si="20"/>
        <v>0.484</v>
      </c>
      <c r="AC28" s="60">
        <f t="shared" si="20"/>
        <v>0.508</v>
      </c>
      <c r="AD28" s="60">
        <f t="shared" si="20"/>
        <v>0.532</v>
      </c>
    </row>
    <row r="29" customFormat="1" ht="18.35" customHeight="1" spans="1:30">
      <c r="A29" s="192" t="s">
        <v>458</v>
      </c>
      <c r="B29" s="193" t="s">
        <v>345</v>
      </c>
      <c r="C29" s="53">
        <v>1</v>
      </c>
      <c r="D29" s="174" t="e">
        <f t="shared" si="0"/>
        <v>#DIV/0!</v>
      </c>
      <c r="E29" s="174" t="e">
        <f t="shared" si="3"/>
        <v>#DIV/0!</v>
      </c>
      <c r="F29" s="179" t="e">
        <f t="shared" si="7"/>
        <v>#DIV/0!</v>
      </c>
      <c r="G29" s="176"/>
      <c r="H29" s="186" t="e">
        <f>J44</f>
        <v>#DIV/0!</v>
      </c>
      <c r="I29" s="181">
        <v>100</v>
      </c>
      <c r="J29" s="173" t="e">
        <f t="shared" si="4"/>
        <v>#DIV/0!</v>
      </c>
      <c r="K29" s="173" t="e">
        <f t="shared" ref="K29:AD29" si="21">$J29*K$30</f>
        <v>#DIV/0!</v>
      </c>
      <c r="L29" s="173" t="e">
        <f t="shared" si="21"/>
        <v>#DIV/0!</v>
      </c>
      <c r="M29" s="173" t="e">
        <f t="shared" si="21"/>
        <v>#DIV/0!</v>
      </c>
      <c r="N29" s="173" t="e">
        <f t="shared" si="21"/>
        <v>#DIV/0!</v>
      </c>
      <c r="O29" s="173" t="e">
        <f t="shared" si="21"/>
        <v>#DIV/0!</v>
      </c>
      <c r="P29" s="173" t="e">
        <f t="shared" si="21"/>
        <v>#DIV/0!</v>
      </c>
      <c r="Q29" s="173" t="e">
        <f t="shared" si="21"/>
        <v>#DIV/0!</v>
      </c>
      <c r="R29" s="173" t="e">
        <f t="shared" si="21"/>
        <v>#DIV/0!</v>
      </c>
      <c r="S29" s="173" t="e">
        <f t="shared" si="21"/>
        <v>#DIV/0!</v>
      </c>
      <c r="T29" s="173" t="e">
        <f t="shared" si="21"/>
        <v>#DIV/0!</v>
      </c>
      <c r="U29" s="173" t="e">
        <f t="shared" si="21"/>
        <v>#DIV/0!</v>
      </c>
      <c r="V29" s="173" t="e">
        <f t="shared" si="21"/>
        <v>#DIV/0!</v>
      </c>
      <c r="W29" s="173" t="e">
        <f t="shared" si="21"/>
        <v>#DIV/0!</v>
      </c>
      <c r="X29" s="173" t="e">
        <f t="shared" si="21"/>
        <v>#DIV/0!</v>
      </c>
      <c r="Y29" s="173" t="e">
        <f t="shared" si="21"/>
        <v>#DIV/0!</v>
      </c>
      <c r="Z29" s="173" t="e">
        <f t="shared" si="21"/>
        <v>#DIV/0!</v>
      </c>
      <c r="AA29" s="173" t="e">
        <f t="shared" si="21"/>
        <v>#DIV/0!</v>
      </c>
      <c r="AB29" s="173" t="e">
        <f t="shared" si="21"/>
        <v>#DIV/0!</v>
      </c>
      <c r="AC29" s="173" t="e">
        <f t="shared" si="21"/>
        <v>#DIV/0!</v>
      </c>
      <c r="AD29" s="173" t="e">
        <f t="shared" si="21"/>
        <v>#DIV/0!</v>
      </c>
    </row>
    <row r="30" ht="14.25" spans="1:30">
      <c r="A30" s="194"/>
      <c r="B30" s="195"/>
      <c r="C30" s="195"/>
      <c r="D30" s="195"/>
      <c r="E30" s="195"/>
      <c r="F30" s="195"/>
      <c r="G30" s="195"/>
      <c r="H30" s="195"/>
      <c r="I30" s="195"/>
      <c r="J30" s="196"/>
      <c r="K30" s="197">
        <v>1.04</v>
      </c>
      <c r="L30" s="198">
        <v>1.08</v>
      </c>
      <c r="M30" s="198">
        <v>1.12</v>
      </c>
      <c r="N30" s="198">
        <v>1.16</v>
      </c>
      <c r="O30" s="198">
        <v>1.24</v>
      </c>
      <c r="P30" s="198">
        <v>1.32</v>
      </c>
      <c r="Q30" s="198">
        <v>1.4</v>
      </c>
      <c r="R30" s="198">
        <v>1.48</v>
      </c>
      <c r="S30" s="198">
        <v>1.72</v>
      </c>
      <c r="T30" s="198">
        <v>1.96</v>
      </c>
      <c r="U30" s="198">
        <v>2.2</v>
      </c>
      <c r="V30" s="198">
        <v>2.68</v>
      </c>
      <c r="W30" s="198">
        <v>3.16</v>
      </c>
      <c r="X30" s="198">
        <v>3.64</v>
      </c>
      <c r="Y30" s="198">
        <v>4.12</v>
      </c>
      <c r="Z30" s="198">
        <v>4.36</v>
      </c>
      <c r="AA30" s="198">
        <v>4.6</v>
      </c>
      <c r="AB30" s="198">
        <v>4.84</v>
      </c>
      <c r="AC30" s="198">
        <v>5.08</v>
      </c>
      <c r="AD30" s="198">
        <v>5.32</v>
      </c>
    </row>
    <row r="31" spans="1:30">
      <c r="A31" s="199"/>
      <c r="B31" s="200"/>
      <c r="C31" s="200"/>
      <c r="D31" s="200"/>
      <c r="E31" s="200"/>
      <c r="F31" s="200"/>
      <c r="G31" s="200"/>
      <c r="H31" s="200"/>
      <c r="I31" s="200"/>
      <c r="J31" s="201"/>
      <c r="K31" s="197">
        <f t="shared" ref="K31:R31" si="22">K30-1</f>
        <v>0.04</v>
      </c>
      <c r="L31" s="41">
        <f t="shared" si="22"/>
        <v>0.0800000000000001</v>
      </c>
      <c r="M31" s="41">
        <f t="shared" si="22"/>
        <v>0.12</v>
      </c>
      <c r="N31" s="41">
        <f t="shared" si="22"/>
        <v>0.16</v>
      </c>
      <c r="O31" s="41">
        <f t="shared" si="22"/>
        <v>0.24</v>
      </c>
      <c r="P31" s="41">
        <f t="shared" si="22"/>
        <v>0.32</v>
      </c>
      <c r="Q31" s="41">
        <f t="shared" si="22"/>
        <v>0.4</v>
      </c>
      <c r="R31" s="41">
        <f t="shared" si="22"/>
        <v>0.48</v>
      </c>
      <c r="S31" s="41">
        <f t="shared" ref="S31:AD31" si="23">S30-1</f>
        <v>0.72</v>
      </c>
      <c r="T31" s="41">
        <f t="shared" si="23"/>
        <v>0.96</v>
      </c>
      <c r="U31" s="41">
        <f t="shared" si="23"/>
        <v>1.2</v>
      </c>
      <c r="V31" s="41">
        <f t="shared" si="23"/>
        <v>1.68</v>
      </c>
      <c r="W31" s="41">
        <f t="shared" si="23"/>
        <v>2.16</v>
      </c>
      <c r="X31" s="41">
        <f t="shared" si="23"/>
        <v>2.64</v>
      </c>
      <c r="Y31" s="41">
        <f t="shared" si="23"/>
        <v>3.12</v>
      </c>
      <c r="Z31" s="41">
        <f t="shared" si="23"/>
        <v>3.36</v>
      </c>
      <c r="AA31" s="41">
        <f t="shared" si="23"/>
        <v>3.6</v>
      </c>
      <c r="AB31" s="41">
        <f t="shared" si="23"/>
        <v>3.84</v>
      </c>
      <c r="AC31" s="41">
        <f t="shared" si="23"/>
        <v>4.08</v>
      </c>
      <c r="AD31" s="41">
        <f t="shared" si="23"/>
        <v>4.32</v>
      </c>
    </row>
    <row r="32" ht="14.25" spans="1:30">
      <c r="A32" s="202"/>
      <c r="B32" s="203"/>
      <c r="C32" s="203"/>
      <c r="D32" s="203"/>
      <c r="E32" s="203"/>
      <c r="F32" s="203"/>
      <c r="G32" s="203"/>
      <c r="H32" s="203"/>
      <c r="I32" s="203"/>
      <c r="J32" s="204"/>
      <c r="K32" s="205">
        <v>1.12</v>
      </c>
      <c r="L32" s="41">
        <f t="shared" ref="L32:S32" si="24">L30-K30</f>
        <v>0.04</v>
      </c>
      <c r="M32" s="41">
        <f t="shared" si="24"/>
        <v>0.04</v>
      </c>
      <c r="N32" s="41">
        <f t="shared" si="24"/>
        <v>0.0399999999999998</v>
      </c>
      <c r="O32" s="41">
        <f t="shared" si="24"/>
        <v>0.0800000000000001</v>
      </c>
      <c r="P32" s="41">
        <f t="shared" si="24"/>
        <v>0.0800000000000001</v>
      </c>
      <c r="Q32" s="41">
        <f t="shared" si="24"/>
        <v>0.0799999999999998</v>
      </c>
      <c r="R32" s="41">
        <f t="shared" si="24"/>
        <v>0.0800000000000001</v>
      </c>
      <c r="S32" s="41">
        <f t="shared" si="24"/>
        <v>0.24</v>
      </c>
      <c r="T32" s="41">
        <f t="shared" ref="S32:AD32" si="25">T30-S30</f>
        <v>0.24</v>
      </c>
      <c r="U32" s="41">
        <f t="shared" si="25"/>
        <v>0.24</v>
      </c>
      <c r="V32" s="41">
        <f t="shared" si="25"/>
        <v>0.48</v>
      </c>
      <c r="W32" s="41">
        <f t="shared" si="25"/>
        <v>0.48</v>
      </c>
      <c r="X32" s="41">
        <f t="shared" si="25"/>
        <v>0.48</v>
      </c>
      <c r="Y32" s="41">
        <f t="shared" si="25"/>
        <v>0.48</v>
      </c>
      <c r="Z32" s="41">
        <f t="shared" si="25"/>
        <v>0.24</v>
      </c>
      <c r="AA32" s="41">
        <f t="shared" si="25"/>
        <v>0.239999999999999</v>
      </c>
      <c r="AB32" s="41">
        <f t="shared" si="25"/>
        <v>0.24</v>
      </c>
      <c r="AC32" s="41">
        <f t="shared" si="25"/>
        <v>0.24</v>
      </c>
      <c r="AD32" s="41">
        <f t="shared" si="25"/>
        <v>0.24</v>
      </c>
    </row>
    <row r="33" ht="14.25" spans="1:30">
      <c r="A33" s="206"/>
      <c r="B33" s="200"/>
      <c r="C33" s="200"/>
      <c r="D33" s="200"/>
      <c r="E33" s="200"/>
      <c r="F33" s="200"/>
      <c r="G33" s="200"/>
      <c r="H33" s="200"/>
      <c r="I33" s="200"/>
      <c r="J33" s="200"/>
      <c r="K33" s="198">
        <v>0.04</v>
      </c>
      <c r="L33" s="198">
        <v>0.08</v>
      </c>
      <c r="M33" s="198">
        <v>0.12</v>
      </c>
      <c r="N33" s="198">
        <v>0.16</v>
      </c>
      <c r="O33" s="198">
        <v>0.24</v>
      </c>
      <c r="P33" s="198">
        <v>0.32</v>
      </c>
      <c r="Q33" s="198">
        <v>0.4</v>
      </c>
      <c r="R33" s="198">
        <v>0.48</v>
      </c>
      <c r="S33" s="198">
        <v>0.72</v>
      </c>
      <c r="T33" s="198">
        <v>0.96</v>
      </c>
      <c r="U33" s="198">
        <v>1.2</v>
      </c>
      <c r="V33" s="198">
        <v>1.68</v>
      </c>
      <c r="W33" s="198">
        <v>2.16</v>
      </c>
      <c r="X33" s="198">
        <v>2.64</v>
      </c>
      <c r="Y33" s="198">
        <v>3.12</v>
      </c>
      <c r="Z33" s="198">
        <v>3.36</v>
      </c>
      <c r="AA33" s="198">
        <v>3.6</v>
      </c>
      <c r="AB33" s="198">
        <v>3.84</v>
      </c>
      <c r="AC33" s="198">
        <v>4.08</v>
      </c>
      <c r="AD33" s="198">
        <v>4.32</v>
      </c>
    </row>
    <row r="34" ht="45" customHeight="1" spans="1:30">
      <c r="A34" s="207"/>
      <c r="B34" s="207"/>
      <c r="C34" s="207"/>
      <c r="D34" s="207"/>
      <c r="E34" s="207"/>
      <c r="F34" s="207"/>
      <c r="G34" s="207"/>
      <c r="H34" s="207"/>
      <c r="I34" s="207"/>
      <c r="J34" s="207"/>
      <c r="L34" s="41">
        <f>K34^$K36+0.01</f>
        <v>0.01</v>
      </c>
    </row>
    <row r="35" ht="38.35" customHeight="1" spans="1:30">
      <c r="A35" s="208"/>
      <c r="B35" s="119" t="s">
        <v>418</v>
      </c>
      <c r="C35" s="119" t="s">
        <v>459</v>
      </c>
      <c r="D35" s="209">
        <v>0.5</v>
      </c>
      <c r="E35" s="65" t="s">
        <v>460</v>
      </c>
      <c r="F35" s="119" t="s">
        <v>461</v>
      </c>
      <c r="G35" s="119" t="s">
        <v>462</v>
      </c>
      <c r="H35" s="119" t="s">
        <v>463</v>
      </c>
      <c r="I35" s="119" t="s">
        <v>464</v>
      </c>
      <c r="J35" s="118" t="s">
        <v>424</v>
      </c>
      <c r="K35" s="65" t="s">
        <v>465</v>
      </c>
      <c r="L35" s="210" t="s">
        <v>466</v>
      </c>
      <c r="N35" s="1"/>
      <c r="O35" s="1"/>
      <c r="P35" s="1">
        <v>9</v>
      </c>
      <c r="Q35" s="1"/>
      <c r="R35" s="1"/>
      <c r="S35" s="156"/>
      <c r="T35" s="1"/>
      <c r="U35" s="156"/>
      <c r="AC35" s="1"/>
    </row>
    <row r="36" ht="15" customHeight="1" spans="1:30">
      <c r="A36" s="192" t="s">
        <v>458</v>
      </c>
      <c r="B36" s="193" t="s">
        <v>385</v>
      </c>
      <c r="C36" s="211">
        <v>20000</v>
      </c>
      <c r="D36" s="212">
        <f>C36*$D$35</f>
        <v>10000</v>
      </c>
      <c r="E36" s="213">
        <f>(D36-H36)/K36</f>
        <v>2000</v>
      </c>
      <c r="F36" s="213"/>
      <c r="G36" s="214"/>
      <c r="H36" s="36"/>
      <c r="I36" s="214">
        <f t="shared" ref="I36:I56" si="26">G36/$AD$30</f>
        <v>0</v>
      </c>
      <c r="J36" s="215">
        <f>I36/$C$14</f>
        <v>0</v>
      </c>
      <c r="K36" s="216">
        <f>COUNTIF(装备属性池!$C$3:$K$11,装备属性池!$L36)</f>
        <v>5</v>
      </c>
      <c r="L36" s="217" t="s">
        <v>385</v>
      </c>
      <c r="M36">
        <v>1</v>
      </c>
      <c r="P36">
        <v>4</v>
      </c>
    </row>
    <row r="37" ht="15" customHeight="1" spans="1:30">
      <c r="A37" s="192" t="s">
        <v>458</v>
      </c>
      <c r="B37" s="193" t="s">
        <v>401</v>
      </c>
      <c r="C37" s="211">
        <v>16000</v>
      </c>
      <c r="D37" s="212">
        <f t="shared" ref="D37:D59" si="27">C37*$D$35</f>
        <v>8000</v>
      </c>
      <c r="E37" s="213">
        <f>(D37-H37)/K37</f>
        <v>2666.66666666667</v>
      </c>
      <c r="F37" s="213"/>
      <c r="G37" s="214"/>
      <c r="H37" s="36"/>
      <c r="I37" s="214">
        <f t="shared" si="26"/>
        <v>0</v>
      </c>
      <c r="J37" s="215">
        <f t="shared" ref="J37:J68" si="28">I37/$C$14</f>
        <v>0</v>
      </c>
      <c r="K37" s="216">
        <f>COUNTIF(装备属性池!$C$3:$K$11,装备属性池!$L37)</f>
        <v>3</v>
      </c>
      <c r="L37" s="218" t="s">
        <v>401</v>
      </c>
      <c r="M37">
        <v>1</v>
      </c>
    </row>
    <row r="38" ht="15" customHeight="1" spans="1:30">
      <c r="A38" s="192" t="s">
        <v>458</v>
      </c>
      <c r="B38" s="193" t="s">
        <v>408</v>
      </c>
      <c r="C38" s="211">
        <v>4000</v>
      </c>
      <c r="D38" s="212">
        <f t="shared" si="27"/>
        <v>2000</v>
      </c>
      <c r="E38" s="213">
        <f t="shared" ref="E37:E48" si="29">D38/K38</f>
        <v>400</v>
      </c>
      <c r="F38" s="213"/>
      <c r="G38" s="214"/>
      <c r="H38" s="214"/>
      <c r="I38" s="214">
        <f t="shared" si="26"/>
        <v>0</v>
      </c>
      <c r="J38" s="215">
        <f t="shared" si="28"/>
        <v>0</v>
      </c>
      <c r="K38" s="216">
        <f>COUNTIF(装备属性池!$C$3:$K$11,装备属性池!$L38)</f>
        <v>5</v>
      </c>
      <c r="L38" s="218" t="s">
        <v>408</v>
      </c>
      <c r="M38">
        <v>1</v>
      </c>
    </row>
    <row r="39" ht="15" customHeight="1" spans="1:30">
      <c r="A39" s="192" t="s">
        <v>458</v>
      </c>
      <c r="B39" s="193" t="s">
        <v>407</v>
      </c>
      <c r="C39" s="211">
        <v>4000</v>
      </c>
      <c r="D39" s="212">
        <f t="shared" si="27"/>
        <v>2000</v>
      </c>
      <c r="E39" s="213">
        <f t="shared" si="29"/>
        <v>666.666666666667</v>
      </c>
      <c r="F39" s="213"/>
      <c r="G39" s="214"/>
      <c r="H39" s="214"/>
      <c r="I39" s="214">
        <f t="shared" si="26"/>
        <v>0</v>
      </c>
      <c r="J39" s="215">
        <f t="shared" si="28"/>
        <v>0</v>
      </c>
      <c r="K39" s="216">
        <f>COUNTIF(装备属性池!$C$3:$K$11,装备属性池!$L39)</f>
        <v>3</v>
      </c>
      <c r="L39" s="218" t="s">
        <v>407</v>
      </c>
      <c r="M39">
        <v>1</v>
      </c>
    </row>
    <row r="40" ht="15" customHeight="1" spans="1:30">
      <c r="A40" s="192" t="s">
        <v>458</v>
      </c>
      <c r="B40" s="193" t="s">
        <v>467</v>
      </c>
      <c r="C40" s="211">
        <v>30</v>
      </c>
      <c r="D40" s="212">
        <v>150</v>
      </c>
      <c r="E40" s="214" t="e">
        <f t="shared" si="29"/>
        <v>#DIV/0!</v>
      </c>
      <c r="F40" s="214"/>
      <c r="G40" s="214"/>
      <c r="H40" s="214"/>
      <c r="I40" s="214">
        <f t="shared" si="26"/>
        <v>0</v>
      </c>
      <c r="J40" s="215">
        <f t="shared" si="28"/>
        <v>0</v>
      </c>
      <c r="K40" s="216">
        <f>COUNTIF(装备属性池!$C$3:$K$11,装备属性池!$L40)</f>
        <v>0</v>
      </c>
      <c r="L40" s="218" t="s">
        <v>467</v>
      </c>
    </row>
    <row r="41" ht="15" customHeight="1" spans="1:30">
      <c r="A41" s="192" t="s">
        <v>458</v>
      </c>
      <c r="B41" s="193" t="s">
        <v>468</v>
      </c>
      <c r="C41" s="211">
        <v>30</v>
      </c>
      <c r="D41" s="212">
        <v>150</v>
      </c>
      <c r="E41" s="214" t="e">
        <f t="shared" si="29"/>
        <v>#DIV/0!</v>
      </c>
      <c r="F41" s="214"/>
      <c r="G41" s="214"/>
      <c r="H41" s="214"/>
      <c r="I41" s="214">
        <f t="shared" si="26"/>
        <v>0</v>
      </c>
      <c r="J41" s="215">
        <f t="shared" si="28"/>
        <v>0</v>
      </c>
      <c r="K41" s="216">
        <f>COUNTIF(装备属性池!$C$3:$K$11,装备属性池!$L41)</f>
        <v>0</v>
      </c>
      <c r="L41" s="218" t="s">
        <v>468</v>
      </c>
      <c r="P41" s="1" t="s">
        <v>469</v>
      </c>
    </row>
    <row r="42" ht="15" customHeight="1" spans="1:30">
      <c r="A42" s="192" t="s">
        <v>458</v>
      </c>
      <c r="B42" s="193" t="s">
        <v>470</v>
      </c>
      <c r="C42" s="211">
        <v>30</v>
      </c>
      <c r="D42" s="212">
        <v>150</v>
      </c>
      <c r="E42" s="214" t="e">
        <f t="shared" si="29"/>
        <v>#DIV/0!</v>
      </c>
      <c r="F42" s="214"/>
      <c r="G42" s="214"/>
      <c r="H42" s="214"/>
      <c r="I42" s="214">
        <f t="shared" si="26"/>
        <v>0</v>
      </c>
      <c r="J42" s="215">
        <f t="shared" si="28"/>
        <v>0</v>
      </c>
      <c r="K42" s="216">
        <f>COUNTIF(装备属性池!$C$3:$K$11,装备属性池!$L42)</f>
        <v>0</v>
      </c>
      <c r="L42" s="218" t="s">
        <v>470</v>
      </c>
      <c r="P42">
        <v>500</v>
      </c>
      <c r="Q42">
        <v>1500</v>
      </c>
      <c r="R42">
        <v>1000</v>
      </c>
    </row>
    <row r="43" ht="15" customHeight="1" spans="1:30">
      <c r="A43" s="192" t="s">
        <v>458</v>
      </c>
      <c r="B43" s="193" t="s">
        <v>471</v>
      </c>
      <c r="C43" s="211">
        <v>30</v>
      </c>
      <c r="D43" s="212">
        <v>150</v>
      </c>
      <c r="E43" s="214" t="e">
        <f t="shared" si="29"/>
        <v>#DIV/0!</v>
      </c>
      <c r="F43" s="214"/>
      <c r="G43" s="214"/>
      <c r="H43" s="214"/>
      <c r="I43" s="214">
        <f t="shared" si="26"/>
        <v>0</v>
      </c>
      <c r="J43" s="215">
        <f t="shared" si="28"/>
        <v>0</v>
      </c>
      <c r="K43" s="216">
        <f>COUNTIF(装备属性池!$C$3:$K$11,装备属性池!$L43)</f>
        <v>0</v>
      </c>
      <c r="L43" s="218" t="s">
        <v>471</v>
      </c>
      <c r="P43">
        <v>500</v>
      </c>
      <c r="Q43">
        <v>1000</v>
      </c>
      <c r="R43">
        <v>100000</v>
      </c>
      <c r="X43" s="219" t="s">
        <v>472</v>
      </c>
      <c r="Y43" s="219" t="s">
        <v>473</v>
      </c>
    </row>
    <row r="44" ht="15" customHeight="1" spans="1:30">
      <c r="A44" s="192" t="s">
        <v>458</v>
      </c>
      <c r="B44" s="193" t="s">
        <v>345</v>
      </c>
      <c r="C44" s="211">
        <v>260</v>
      </c>
      <c r="D44" s="212">
        <v>300</v>
      </c>
      <c r="E44" s="213" t="e">
        <f>(D44-H44)/K44</f>
        <v>#DIV/0!</v>
      </c>
      <c r="F44" s="211"/>
      <c r="G44" s="211" t="e">
        <f>E44</f>
        <v>#DIV/0!</v>
      </c>
      <c r="H44" s="36"/>
      <c r="I44" s="220" t="e">
        <f t="shared" si="26"/>
        <v>#DIV/0!</v>
      </c>
      <c r="J44" s="36" t="e">
        <f t="shared" si="28"/>
        <v>#DIV/0!</v>
      </c>
      <c r="K44" s="216">
        <f>COUNTIF(装备属性池!$C$3:$K$11,装备属性池!$L44)</f>
        <v>0</v>
      </c>
      <c r="L44" s="218" t="s">
        <v>345</v>
      </c>
      <c r="P44">
        <v>500</v>
      </c>
      <c r="Q44">
        <v>1000</v>
      </c>
      <c r="R44">
        <v>100000</v>
      </c>
      <c r="X44" s="221" t="s">
        <v>474</v>
      </c>
      <c r="Y44" s="222">
        <v>0.04</v>
      </c>
    </row>
    <row r="45" ht="15" customHeight="1" spans="1:30">
      <c r="A45" s="192" t="s">
        <v>458</v>
      </c>
      <c r="B45" s="193" t="s">
        <v>413</v>
      </c>
      <c r="C45" s="211">
        <v>800</v>
      </c>
      <c r="D45" s="212">
        <f t="shared" si="27"/>
        <v>400</v>
      </c>
      <c r="E45" s="211">
        <f t="shared" si="29"/>
        <v>100</v>
      </c>
      <c r="F45" s="211"/>
      <c r="G45" s="214"/>
      <c r="H45" s="214"/>
      <c r="I45" s="214">
        <f t="shared" si="26"/>
        <v>0</v>
      </c>
      <c r="J45" s="215">
        <f t="shared" si="28"/>
        <v>0</v>
      </c>
      <c r="K45" s="216">
        <f>COUNTIF(装备属性池!$C$3:$K$11,装备属性池!$L45)</f>
        <v>4</v>
      </c>
      <c r="L45" s="218" t="s">
        <v>413</v>
      </c>
      <c r="P45">
        <v>500</v>
      </c>
      <c r="Q45">
        <v>1000</v>
      </c>
      <c r="R45">
        <v>100000</v>
      </c>
      <c r="X45" s="223" t="s">
        <v>475</v>
      </c>
      <c r="Y45" s="224">
        <v>0.08</v>
      </c>
    </row>
    <row r="46" ht="15" customHeight="1" spans="1:30">
      <c r="A46" s="192" t="s">
        <v>458</v>
      </c>
      <c r="B46" s="193" t="s">
        <v>412</v>
      </c>
      <c r="C46" s="211">
        <v>800</v>
      </c>
      <c r="D46" s="212">
        <f t="shared" si="27"/>
        <v>400</v>
      </c>
      <c r="E46" s="211">
        <f t="shared" si="29"/>
        <v>100</v>
      </c>
      <c r="F46" s="211"/>
      <c r="G46" s="214"/>
      <c r="H46" s="214"/>
      <c r="I46" s="214">
        <f t="shared" si="26"/>
        <v>0</v>
      </c>
      <c r="J46" s="215">
        <f t="shared" si="28"/>
        <v>0</v>
      </c>
      <c r="K46" s="216">
        <f>COUNTIF(装备属性池!$C$3:$K$11,装备属性池!$L46)</f>
        <v>4</v>
      </c>
      <c r="L46" s="218" t="s">
        <v>412</v>
      </c>
      <c r="P46">
        <v>500</v>
      </c>
      <c r="Q46">
        <v>1000</v>
      </c>
      <c r="R46">
        <v>100000</v>
      </c>
      <c r="X46" s="225" t="s">
        <v>476</v>
      </c>
      <c r="Y46" s="226">
        <v>0.12</v>
      </c>
    </row>
    <row r="47" ht="15" customHeight="1" spans="1:30">
      <c r="A47" s="192" t="s">
        <v>458</v>
      </c>
      <c r="B47" s="193" t="s">
        <v>400</v>
      </c>
      <c r="C47" s="227">
        <v>0.4</v>
      </c>
      <c r="D47" s="228">
        <v>0.2</v>
      </c>
      <c r="E47" s="227">
        <f t="shared" si="29"/>
        <v>0.2</v>
      </c>
      <c r="F47" s="227"/>
      <c r="G47" s="214"/>
      <c r="H47" s="214"/>
      <c r="I47" s="214">
        <f t="shared" si="26"/>
        <v>0</v>
      </c>
      <c r="J47" s="214">
        <f t="shared" si="28"/>
        <v>0</v>
      </c>
      <c r="K47" s="216">
        <f>COUNTIF(装备属性池!$C$3:$K$11,装备属性池!$L47)</f>
        <v>1</v>
      </c>
      <c r="L47" s="218" t="s">
        <v>400</v>
      </c>
      <c r="P47">
        <v>500</v>
      </c>
      <c r="Q47">
        <v>1000</v>
      </c>
      <c r="R47">
        <v>100000</v>
      </c>
      <c r="X47" s="223" t="s">
        <v>477</v>
      </c>
      <c r="Y47" s="224">
        <v>0.16</v>
      </c>
    </row>
    <row r="48" ht="15" customHeight="1" spans="1:30">
      <c r="A48" s="192" t="s">
        <v>458</v>
      </c>
      <c r="B48" s="193" t="s">
        <v>406</v>
      </c>
      <c r="C48" s="227">
        <v>0.4</v>
      </c>
      <c r="D48" s="228">
        <f t="shared" si="27"/>
        <v>0.2</v>
      </c>
      <c r="E48" s="227">
        <f t="shared" si="29"/>
        <v>0.2</v>
      </c>
      <c r="F48" s="227"/>
      <c r="G48" s="214"/>
      <c r="H48" s="214"/>
      <c r="I48" s="214">
        <f t="shared" si="26"/>
        <v>0</v>
      </c>
      <c r="J48" s="214">
        <f t="shared" si="28"/>
        <v>0</v>
      </c>
      <c r="K48" s="216">
        <f>COUNTIF(装备属性池!$C$3:$K$11,装备属性池!$L48)</f>
        <v>1</v>
      </c>
      <c r="L48" s="218" t="s">
        <v>406</v>
      </c>
      <c r="P48">
        <v>500</v>
      </c>
      <c r="Q48">
        <v>1500</v>
      </c>
      <c r="R48">
        <v>200</v>
      </c>
      <c r="X48" s="225" t="s">
        <v>478</v>
      </c>
      <c r="Y48" s="226">
        <v>0.24</v>
      </c>
    </row>
    <row r="49" ht="15" customHeight="1" spans="1:25">
      <c r="A49" s="192" t="s">
        <v>458</v>
      </c>
      <c r="B49" s="193" t="s">
        <v>479</v>
      </c>
      <c r="C49" s="227">
        <v>0.36</v>
      </c>
      <c r="D49" s="228">
        <v>0.6</v>
      </c>
      <c r="E49" s="229" t="e">
        <f t="shared" ref="E49:E53" si="30">D49/K49</f>
        <v>#DIV/0!</v>
      </c>
      <c r="F49" s="229"/>
      <c r="G49" s="214"/>
      <c r="H49" s="214"/>
      <c r="I49" s="214">
        <f t="shared" si="26"/>
        <v>0</v>
      </c>
      <c r="J49" s="215">
        <f t="shared" si="28"/>
        <v>0</v>
      </c>
      <c r="K49" s="216">
        <f>COUNTIF(装备属性池!$C$3:$K$11,装备属性池!$L49)</f>
        <v>0</v>
      </c>
      <c r="L49" s="218" t="s">
        <v>479</v>
      </c>
      <c r="P49">
        <v>500</v>
      </c>
      <c r="Q49">
        <v>1500</v>
      </c>
      <c r="R49">
        <v>200</v>
      </c>
      <c r="X49" s="223" t="s">
        <v>480</v>
      </c>
      <c r="Y49" s="224">
        <v>0.32</v>
      </c>
    </row>
    <row r="50" ht="15" customHeight="1" spans="1:25">
      <c r="A50" s="192" t="s">
        <v>458</v>
      </c>
      <c r="B50" s="193" t="s">
        <v>481</v>
      </c>
      <c r="C50" s="227">
        <v>0.36</v>
      </c>
      <c r="D50" s="228">
        <v>0.6</v>
      </c>
      <c r="E50" s="229" t="e">
        <f t="shared" si="30"/>
        <v>#DIV/0!</v>
      </c>
      <c r="F50" s="229"/>
      <c r="G50" s="214"/>
      <c r="H50" s="214"/>
      <c r="I50" s="214">
        <f t="shared" si="26"/>
        <v>0</v>
      </c>
      <c r="J50" s="215">
        <f t="shared" si="28"/>
        <v>0</v>
      </c>
      <c r="K50" s="216">
        <f>COUNTIF(装备属性池!$C$3:$K$11,装备属性池!$L50)</f>
        <v>0</v>
      </c>
      <c r="L50" s="218" t="s">
        <v>481</v>
      </c>
      <c r="P50">
        <v>500</v>
      </c>
      <c r="Q50">
        <v>1500</v>
      </c>
      <c r="R50">
        <v>200</v>
      </c>
      <c r="X50" s="225" t="s">
        <v>482</v>
      </c>
      <c r="Y50" s="226">
        <v>0.4</v>
      </c>
    </row>
    <row r="51" ht="15" customHeight="1" spans="1:25">
      <c r="A51" s="192" t="s">
        <v>458</v>
      </c>
      <c r="B51" s="193" t="s">
        <v>483</v>
      </c>
      <c r="C51" s="227">
        <v>0.36</v>
      </c>
      <c r="D51" s="228">
        <v>0.6</v>
      </c>
      <c r="E51" s="229" t="e">
        <f t="shared" si="30"/>
        <v>#DIV/0!</v>
      </c>
      <c r="F51" s="229"/>
      <c r="G51" s="214"/>
      <c r="H51" s="214"/>
      <c r="I51" s="214">
        <f t="shared" si="26"/>
        <v>0</v>
      </c>
      <c r="J51" s="215">
        <f t="shared" si="28"/>
        <v>0</v>
      </c>
      <c r="K51" s="216">
        <f>COUNTIF(装备属性池!$C$3:$K$11,装备属性池!$L51)</f>
        <v>0</v>
      </c>
      <c r="L51" s="218" t="s">
        <v>483</v>
      </c>
      <c r="X51" s="223" t="s">
        <v>484</v>
      </c>
      <c r="Y51" s="224">
        <v>0.48</v>
      </c>
    </row>
    <row r="52" ht="15" customHeight="1" spans="1:25">
      <c r="A52" s="192" t="s">
        <v>458</v>
      </c>
      <c r="B52" s="193" t="s">
        <v>485</v>
      </c>
      <c r="C52" s="227">
        <v>0.36</v>
      </c>
      <c r="D52" s="228">
        <v>0.6</v>
      </c>
      <c r="E52" s="229" t="e">
        <f t="shared" si="30"/>
        <v>#DIV/0!</v>
      </c>
      <c r="F52" s="229"/>
      <c r="G52" s="214"/>
      <c r="H52" s="214"/>
      <c r="I52" s="214">
        <f t="shared" si="26"/>
        <v>0</v>
      </c>
      <c r="J52" s="215">
        <f t="shared" si="28"/>
        <v>0</v>
      </c>
      <c r="K52" s="216">
        <f>COUNTIF(装备属性池!$C$3:$K$11,装备属性池!$L52)</f>
        <v>0</v>
      </c>
      <c r="L52" s="218" t="s">
        <v>485</v>
      </c>
      <c r="P52">
        <v>1.2</v>
      </c>
      <c r="X52" s="225" t="s">
        <v>486</v>
      </c>
      <c r="Y52" s="226">
        <v>0.72</v>
      </c>
    </row>
    <row r="53" ht="15" customHeight="1" spans="1:25">
      <c r="A53" s="100" t="s">
        <v>447</v>
      </c>
      <c r="B53" s="135" t="s">
        <v>336</v>
      </c>
      <c r="C53" s="230">
        <v>15900</v>
      </c>
      <c r="D53" s="231">
        <v>24000</v>
      </c>
      <c r="E53" s="232">
        <f>(D53-H53)/K53</f>
        <v>2666.66666666667</v>
      </c>
      <c r="F53" s="232">
        <v>1980</v>
      </c>
      <c r="G53" s="232">
        <f t="shared" ref="G53:G68" si="31">E53</f>
        <v>2666.66666666667</v>
      </c>
      <c r="H53" s="233"/>
      <c r="I53" s="232">
        <f t="shared" si="26"/>
        <v>501.25313283208</v>
      </c>
      <c r="J53" s="232">
        <f t="shared" si="28"/>
        <v>501.25313283208</v>
      </c>
      <c r="K53" s="216">
        <f>COUNTIF(装备属性池!$C$3:$K$7,装备属性池!$L53)</f>
        <v>9</v>
      </c>
      <c r="L53" s="234" t="s">
        <v>336</v>
      </c>
      <c r="M53">
        <v>1</v>
      </c>
      <c r="P53" s="1" t="s">
        <v>487</v>
      </c>
      <c r="X53" s="223" t="s">
        <v>488</v>
      </c>
      <c r="Y53" s="224">
        <v>0.96</v>
      </c>
    </row>
    <row r="54" ht="15" customHeight="1" spans="1:25">
      <c r="A54" s="100" t="s">
        <v>447</v>
      </c>
      <c r="B54" s="135" t="s">
        <v>344</v>
      </c>
      <c r="C54" s="230">
        <v>4500</v>
      </c>
      <c r="D54" s="231">
        <v>3200</v>
      </c>
      <c r="E54" s="232">
        <f>(D54-H54)/K54</f>
        <v>1066.66666666667</v>
      </c>
      <c r="F54" s="235"/>
      <c r="G54" s="232">
        <f t="shared" si="31"/>
        <v>1066.66666666667</v>
      </c>
      <c r="H54" s="233"/>
      <c r="I54" s="232">
        <f t="shared" si="26"/>
        <v>200.501253132832</v>
      </c>
      <c r="J54" s="232">
        <f t="shared" si="28"/>
        <v>200.501253132832</v>
      </c>
      <c r="K54" s="216">
        <f>COUNTIF(装备属性池!$C$3:$K$7,装备属性池!$L54)</f>
        <v>3</v>
      </c>
      <c r="L54" s="234" t="s">
        <v>344</v>
      </c>
      <c r="M54">
        <v>1</v>
      </c>
      <c r="P54">
        <f>P42*$P$52</f>
        <v>600</v>
      </c>
      <c r="Q54">
        <f t="shared" ref="Q54:Q62" si="32">Q42*$P$52</f>
        <v>1800</v>
      </c>
      <c r="R54">
        <f t="shared" ref="R54:R62" si="33">R42*$P$52</f>
        <v>1200</v>
      </c>
      <c r="X54" s="225" t="s">
        <v>489</v>
      </c>
      <c r="Y54" s="226">
        <v>1.2</v>
      </c>
    </row>
    <row r="55" ht="15" customHeight="1" spans="1:25">
      <c r="A55" s="100" t="s">
        <v>447</v>
      </c>
      <c r="B55" s="135" t="s">
        <v>337</v>
      </c>
      <c r="C55" s="236">
        <v>2.23</v>
      </c>
      <c r="D55" s="237">
        <v>3.2</v>
      </c>
      <c r="E55" s="236">
        <f>D55/K55</f>
        <v>0.8</v>
      </c>
      <c r="F55" s="235"/>
      <c r="G55" s="236">
        <f t="shared" si="31"/>
        <v>0.8</v>
      </c>
      <c r="H55" s="235"/>
      <c r="I55" s="236">
        <f t="shared" si="26"/>
        <v>0.150375939849624</v>
      </c>
      <c r="J55" s="236">
        <f t="shared" si="28"/>
        <v>0.150375939849624</v>
      </c>
      <c r="K55" s="216">
        <f>COUNTIF(装备属性池!$C$3:$K$11,装备属性池!$L55)</f>
        <v>4</v>
      </c>
      <c r="L55" s="234" t="s">
        <v>337</v>
      </c>
      <c r="M55">
        <v>1</v>
      </c>
      <c r="P55">
        <f t="shared" ref="P55:P62" si="34">P43*$P$52</f>
        <v>600</v>
      </c>
      <c r="Q55">
        <f t="shared" si="32"/>
        <v>1200</v>
      </c>
      <c r="R55">
        <f t="shared" si="33"/>
        <v>120000</v>
      </c>
      <c r="X55" s="223" t="s">
        <v>490</v>
      </c>
      <c r="Y55" s="224">
        <v>1.68</v>
      </c>
    </row>
    <row r="56" ht="15" customHeight="1" spans="1:25">
      <c r="A56" s="100" t="s">
        <v>447</v>
      </c>
      <c r="B56" s="135" t="s">
        <v>341</v>
      </c>
      <c r="C56" s="236">
        <v>0.11</v>
      </c>
      <c r="D56" s="237">
        <v>0.53</v>
      </c>
      <c r="E56" s="236">
        <f>D56/K56</f>
        <v>0.53</v>
      </c>
      <c r="F56" s="235"/>
      <c r="G56" s="236">
        <f t="shared" si="31"/>
        <v>0.53</v>
      </c>
      <c r="H56" s="235"/>
      <c r="I56" s="238">
        <f t="shared" si="26"/>
        <v>0.0996240601503759</v>
      </c>
      <c r="J56" s="236">
        <f t="shared" si="28"/>
        <v>0.0996240601503759</v>
      </c>
      <c r="K56" s="216">
        <f>COUNTIF(装备属性池!$C$3:$K$11,装备属性池!$L56)</f>
        <v>1</v>
      </c>
      <c r="L56" s="234" t="s">
        <v>341</v>
      </c>
      <c r="M56">
        <v>1</v>
      </c>
      <c r="P56">
        <f t="shared" si="34"/>
        <v>600</v>
      </c>
      <c r="Q56">
        <f t="shared" si="32"/>
        <v>1200</v>
      </c>
      <c r="R56">
        <f t="shared" si="33"/>
        <v>120000</v>
      </c>
      <c r="X56" s="225" t="s">
        <v>491</v>
      </c>
      <c r="Y56" s="226">
        <v>2.16</v>
      </c>
    </row>
    <row r="57" ht="15" customHeight="1" spans="1:25">
      <c r="A57" s="100" t="s">
        <v>447</v>
      </c>
      <c r="B57" s="135" t="s">
        <v>342</v>
      </c>
      <c r="C57" s="236">
        <v>0.11</v>
      </c>
      <c r="D57" s="237">
        <v>0.53</v>
      </c>
      <c r="E57" s="236">
        <f t="shared" ref="E57:E67" si="35">D57/K57</f>
        <v>0.53</v>
      </c>
      <c r="F57" s="235"/>
      <c r="G57" s="236">
        <f t="shared" si="31"/>
        <v>0.53</v>
      </c>
      <c r="H57" s="235"/>
      <c r="I57" s="238">
        <f t="shared" ref="I57:I68" si="36">G57/$AD$30</f>
        <v>0.0996240601503759</v>
      </c>
      <c r="J57" s="236">
        <f t="shared" si="28"/>
        <v>0.0996240601503759</v>
      </c>
      <c r="K57" s="216">
        <f>COUNTIF(装备属性池!$C$3:$K$11,装备属性池!$L57)</f>
        <v>1</v>
      </c>
      <c r="L57" s="234" t="s">
        <v>342</v>
      </c>
      <c r="M57">
        <v>1</v>
      </c>
      <c r="P57">
        <f t="shared" si="34"/>
        <v>600</v>
      </c>
      <c r="Q57">
        <f t="shared" si="32"/>
        <v>1200</v>
      </c>
      <c r="R57">
        <f t="shared" si="33"/>
        <v>120000</v>
      </c>
      <c r="X57" s="223" t="s">
        <v>492</v>
      </c>
      <c r="Y57" s="224">
        <v>2.64</v>
      </c>
    </row>
    <row r="58" ht="15" customHeight="1" spans="1:25">
      <c r="A58" s="100" t="s">
        <v>447</v>
      </c>
      <c r="B58" s="135" t="s">
        <v>340</v>
      </c>
      <c r="C58" s="236">
        <v>0.11</v>
      </c>
      <c r="D58" s="237">
        <v>0.53</v>
      </c>
      <c r="E58" s="236">
        <f t="shared" si="35"/>
        <v>0.53</v>
      </c>
      <c r="F58" s="235"/>
      <c r="G58" s="236">
        <f t="shared" si="31"/>
        <v>0.53</v>
      </c>
      <c r="H58" s="235"/>
      <c r="I58" s="238">
        <f t="shared" si="36"/>
        <v>0.0996240601503759</v>
      </c>
      <c r="J58" s="236">
        <f t="shared" si="28"/>
        <v>0.0996240601503759</v>
      </c>
      <c r="K58" s="216">
        <f>COUNTIF(装备属性池!$C$3:$K$11,装备属性池!$L58)</f>
        <v>1</v>
      </c>
      <c r="L58" s="234" t="s">
        <v>340</v>
      </c>
      <c r="M58">
        <v>1</v>
      </c>
      <c r="P58">
        <f t="shared" si="34"/>
        <v>600</v>
      </c>
      <c r="Q58">
        <f t="shared" si="32"/>
        <v>1200</v>
      </c>
      <c r="R58">
        <f t="shared" si="33"/>
        <v>120000</v>
      </c>
      <c r="X58" s="225" t="s">
        <v>493</v>
      </c>
      <c r="Y58" s="226">
        <v>3.12</v>
      </c>
    </row>
    <row r="59" ht="15" customHeight="1" spans="1:25">
      <c r="A59" s="100" t="s">
        <v>447</v>
      </c>
      <c r="B59" s="135" t="s">
        <v>339</v>
      </c>
      <c r="C59" s="236">
        <v>0.11</v>
      </c>
      <c r="D59" s="237">
        <v>0.53</v>
      </c>
      <c r="E59" s="236">
        <f t="shared" si="35"/>
        <v>0.53</v>
      </c>
      <c r="F59" s="235"/>
      <c r="G59" s="236">
        <f t="shared" si="31"/>
        <v>0.53</v>
      </c>
      <c r="H59" s="235"/>
      <c r="I59" s="238">
        <f t="shared" si="36"/>
        <v>0.0996240601503759</v>
      </c>
      <c r="J59" s="236">
        <f t="shared" si="28"/>
        <v>0.0996240601503759</v>
      </c>
      <c r="K59" s="216">
        <f>COUNTIF(装备属性池!$C$3:$K$11,装备属性池!$L59)</f>
        <v>1</v>
      </c>
      <c r="L59" s="234" t="s">
        <v>339</v>
      </c>
      <c r="M59">
        <v>1</v>
      </c>
      <c r="P59">
        <f t="shared" si="34"/>
        <v>600</v>
      </c>
      <c r="Q59">
        <f t="shared" si="32"/>
        <v>1200</v>
      </c>
      <c r="R59">
        <f t="shared" si="33"/>
        <v>120000</v>
      </c>
      <c r="X59" s="223" t="s">
        <v>494</v>
      </c>
      <c r="Y59" s="224">
        <v>3.36</v>
      </c>
    </row>
    <row r="60" ht="15" customHeight="1" spans="1:25">
      <c r="A60" s="100" t="s">
        <v>447</v>
      </c>
      <c r="B60" s="135" t="s">
        <v>343</v>
      </c>
      <c r="C60" s="230">
        <v>241</v>
      </c>
      <c r="D60" s="231">
        <v>270</v>
      </c>
      <c r="E60" s="232">
        <f>(D60-H60)/K60</f>
        <v>54</v>
      </c>
      <c r="F60" s="235"/>
      <c r="G60" s="232">
        <f t="shared" si="31"/>
        <v>54</v>
      </c>
      <c r="H60" s="233"/>
      <c r="I60" s="232">
        <f t="shared" si="36"/>
        <v>10.1503759398496</v>
      </c>
      <c r="J60" s="239">
        <f t="shared" si="28"/>
        <v>10.1503759398496</v>
      </c>
      <c r="K60" s="216">
        <f>COUNTIF(装备属性池!$C$3:$K$11,装备属性池!$L60)</f>
        <v>5</v>
      </c>
      <c r="L60" s="234" t="s">
        <v>343</v>
      </c>
      <c r="M60">
        <v>1</v>
      </c>
      <c r="P60">
        <f t="shared" si="34"/>
        <v>600</v>
      </c>
      <c r="Q60">
        <f t="shared" si="32"/>
        <v>1800</v>
      </c>
      <c r="R60">
        <f t="shared" si="33"/>
        <v>240</v>
      </c>
      <c r="X60" s="225" t="s">
        <v>495</v>
      </c>
      <c r="Y60" s="226">
        <v>3.6</v>
      </c>
    </row>
    <row r="61" ht="15" customHeight="1" spans="1:25">
      <c r="A61" s="104" t="s">
        <v>387</v>
      </c>
      <c r="B61" s="49" t="s">
        <v>349</v>
      </c>
      <c r="C61" s="7">
        <v>210</v>
      </c>
      <c r="D61" s="240">
        <v>200</v>
      </c>
      <c r="E61" s="7">
        <f t="shared" si="35"/>
        <v>200</v>
      </c>
      <c r="F61" s="235"/>
      <c r="G61" s="7">
        <f t="shared" si="31"/>
        <v>200</v>
      </c>
      <c r="H61" s="235"/>
      <c r="I61" s="241">
        <f t="shared" si="36"/>
        <v>37.593984962406</v>
      </c>
      <c r="J61" s="242">
        <f t="shared" si="28"/>
        <v>37.593984962406</v>
      </c>
      <c r="K61" s="216">
        <f>COUNTIF(装备属性池!$C$3:$K$11,装备属性池!$L61)</f>
        <v>1</v>
      </c>
      <c r="L61" s="234" t="s">
        <v>349</v>
      </c>
      <c r="M61" s="1"/>
      <c r="N61" s="1"/>
      <c r="P61">
        <f t="shared" si="34"/>
        <v>600</v>
      </c>
      <c r="Q61">
        <f t="shared" si="32"/>
        <v>1800</v>
      </c>
      <c r="R61">
        <f t="shared" si="33"/>
        <v>240</v>
      </c>
      <c r="X61" s="223" t="s">
        <v>496</v>
      </c>
      <c r="Y61" s="224">
        <v>3.84</v>
      </c>
    </row>
    <row r="62" customFormat="1" ht="15" customHeight="1" spans="1:25">
      <c r="A62" s="104" t="s">
        <v>387</v>
      </c>
      <c r="B62" s="49" t="s">
        <v>351</v>
      </c>
      <c r="C62" s="7">
        <v>210</v>
      </c>
      <c r="D62" s="240">
        <v>200</v>
      </c>
      <c r="E62" s="7">
        <f t="shared" si="35"/>
        <v>200</v>
      </c>
      <c r="F62" s="235"/>
      <c r="G62" s="7">
        <f t="shared" si="31"/>
        <v>200</v>
      </c>
      <c r="H62" s="235"/>
      <c r="I62" s="241">
        <f t="shared" si="36"/>
        <v>37.593984962406</v>
      </c>
      <c r="J62" s="242">
        <f t="shared" si="28"/>
        <v>37.593984962406</v>
      </c>
      <c r="K62" s="216">
        <f>COUNTIF(装备属性池!$C$3:$K$11,装备属性池!$L62)</f>
        <v>1</v>
      </c>
      <c r="L62" s="243" t="s">
        <v>351</v>
      </c>
      <c r="M62" s="1"/>
      <c r="N62" s="1"/>
      <c r="P62">
        <f t="shared" si="34"/>
        <v>600</v>
      </c>
      <c r="Q62">
        <f t="shared" si="32"/>
        <v>1800</v>
      </c>
      <c r="R62">
        <f t="shared" si="33"/>
        <v>240</v>
      </c>
      <c r="X62" s="225" t="s">
        <v>497</v>
      </c>
      <c r="Y62" s="226">
        <v>4.08</v>
      </c>
    </row>
    <row r="63" ht="15" customHeight="1" spans="1:25">
      <c r="A63" s="104" t="s">
        <v>387</v>
      </c>
      <c r="B63" s="49" t="s">
        <v>498</v>
      </c>
      <c r="C63" s="244">
        <v>0.288</v>
      </c>
      <c r="D63" s="245">
        <v>0.55</v>
      </c>
      <c r="E63" s="244">
        <f t="shared" si="35"/>
        <v>0.55</v>
      </c>
      <c r="F63" s="235"/>
      <c r="G63" s="244">
        <f t="shared" si="31"/>
        <v>0.55</v>
      </c>
      <c r="H63" s="235"/>
      <c r="I63" s="244">
        <f t="shared" si="36"/>
        <v>0.103383458646617</v>
      </c>
      <c r="J63" s="244">
        <f t="shared" si="28"/>
        <v>0.103383458646617</v>
      </c>
      <c r="K63" s="216">
        <f>COUNTIF(装备属性池!$C$3:$K$11,装备属性池!$L63)</f>
        <v>1</v>
      </c>
      <c r="L63" s="234" t="s">
        <v>352</v>
      </c>
      <c r="X63" s="246" t="s">
        <v>499</v>
      </c>
      <c r="Y63" s="247">
        <v>4.32</v>
      </c>
    </row>
    <row r="64" ht="15" customHeight="1" spans="1:25">
      <c r="A64" s="104" t="s">
        <v>387</v>
      </c>
      <c r="B64" s="49" t="s">
        <v>500</v>
      </c>
      <c r="C64" s="244">
        <v>0.5</v>
      </c>
      <c r="D64" s="245">
        <v>0.55</v>
      </c>
      <c r="E64" s="244">
        <f t="shared" si="35"/>
        <v>0.55</v>
      </c>
      <c r="F64" s="235"/>
      <c r="G64" s="244">
        <f t="shared" si="31"/>
        <v>0.55</v>
      </c>
      <c r="H64" s="235"/>
      <c r="I64" s="244">
        <f t="shared" si="36"/>
        <v>0.103383458646617</v>
      </c>
      <c r="J64" s="244">
        <f t="shared" si="28"/>
        <v>0.103383458646617</v>
      </c>
      <c r="K64" s="216">
        <f>COUNTIF(装备属性池!$C$3:$K$11,装备属性池!$L64)</f>
        <v>1</v>
      </c>
      <c r="L64" s="234" t="s">
        <v>348</v>
      </c>
    </row>
    <row r="65" ht="15" customHeight="1" spans="1:12">
      <c r="A65" s="104" t="s">
        <v>387</v>
      </c>
      <c r="B65" s="49" t="s">
        <v>501</v>
      </c>
      <c r="C65" s="244">
        <v>0.5</v>
      </c>
      <c r="D65" s="245">
        <v>0.55</v>
      </c>
      <c r="E65" s="244">
        <f t="shared" si="35"/>
        <v>0.55</v>
      </c>
      <c r="F65" s="235"/>
      <c r="G65" s="244">
        <f t="shared" si="31"/>
        <v>0.55</v>
      </c>
      <c r="H65" s="235"/>
      <c r="I65" s="244">
        <f t="shared" si="36"/>
        <v>0.103383458646617</v>
      </c>
      <c r="J65" s="244">
        <f t="shared" si="28"/>
        <v>0.103383458646617</v>
      </c>
      <c r="K65" s="216">
        <f>COUNTIF(装备属性池!$C$3:$K$11,装备属性池!$L65)</f>
        <v>1</v>
      </c>
      <c r="L65" s="234" t="s">
        <v>350</v>
      </c>
    </row>
    <row r="66" ht="15" customHeight="1" spans="1:12">
      <c r="A66" s="104" t="s">
        <v>387</v>
      </c>
      <c r="B66" s="49" t="s">
        <v>502</v>
      </c>
      <c r="C66" s="244">
        <v>0.71</v>
      </c>
      <c r="D66" s="245">
        <v>1.1</v>
      </c>
      <c r="E66" s="244">
        <f t="shared" si="35"/>
        <v>0.55</v>
      </c>
      <c r="F66" s="235"/>
      <c r="G66" s="244">
        <f t="shared" si="31"/>
        <v>0.55</v>
      </c>
      <c r="H66" s="235"/>
      <c r="I66" s="244">
        <f t="shared" si="36"/>
        <v>0.103383458646617</v>
      </c>
      <c r="J66" s="244">
        <f t="shared" si="28"/>
        <v>0.103383458646617</v>
      </c>
      <c r="K66" s="216">
        <f>COUNTIF(装备属性池!$C$3:$K$11,装备属性池!$L66)</f>
        <v>2</v>
      </c>
      <c r="L66" s="234" t="s">
        <v>347</v>
      </c>
    </row>
    <row r="67" ht="15" customHeight="1" spans="1:12">
      <c r="A67" s="104" t="s">
        <v>387</v>
      </c>
      <c r="B67" s="49" t="s">
        <v>346</v>
      </c>
      <c r="C67" s="244">
        <v>0.44</v>
      </c>
      <c r="D67" s="245">
        <v>1.1</v>
      </c>
      <c r="E67" s="244">
        <f t="shared" si="35"/>
        <v>0.55</v>
      </c>
      <c r="F67" s="235"/>
      <c r="G67" s="244">
        <f t="shared" si="31"/>
        <v>0.55</v>
      </c>
      <c r="H67" s="235"/>
      <c r="I67" s="244">
        <f t="shared" si="36"/>
        <v>0.103383458646617</v>
      </c>
      <c r="J67" s="244">
        <f t="shared" si="28"/>
        <v>0.103383458646617</v>
      </c>
      <c r="K67" s="216">
        <f>COUNTIF(装备属性池!$C$3:$K$11,装备属性池!$L67)</f>
        <v>2</v>
      </c>
      <c r="L67" s="234" t="s">
        <v>346</v>
      </c>
    </row>
    <row r="68" ht="15" customHeight="1" spans="1:12">
      <c r="A68" s="248" t="s">
        <v>503</v>
      </c>
      <c r="B68" s="249" t="s">
        <v>504</v>
      </c>
      <c r="C68" s="250">
        <v>0.585</v>
      </c>
      <c r="D68" s="237">
        <v>1.06</v>
      </c>
      <c r="E68" s="250">
        <f>(D68-H68)/K68</f>
        <v>0.53</v>
      </c>
      <c r="F68" s="250"/>
      <c r="G68" s="250">
        <f t="shared" si="31"/>
        <v>0.53</v>
      </c>
      <c r="H68" s="250"/>
      <c r="I68" s="250">
        <f t="shared" si="36"/>
        <v>0.0996240601503759</v>
      </c>
      <c r="J68" s="250">
        <f t="shared" si="28"/>
        <v>0.0996240601503759</v>
      </c>
      <c r="K68" s="216">
        <f>COUNTIF(装备属性池!$C$3:$K$11,装备属性池!$L68)</f>
        <v>2</v>
      </c>
      <c r="L68" s="251" t="s">
        <v>338</v>
      </c>
    </row>
    <row r="70" spans="1:12">
      <c r="A70" s="1"/>
    </row>
    <row r="71" ht="14.25"/>
    <row r="72" ht="27.75" spans="1:12">
      <c r="A72" s="252" t="s">
        <v>505</v>
      </c>
      <c r="B72" s="119" t="s">
        <v>506</v>
      </c>
      <c r="C72" s="118" t="s">
        <v>507</v>
      </c>
      <c r="D72" s="118" t="s">
        <v>508</v>
      </c>
      <c r="E72" s="118" t="s">
        <v>509</v>
      </c>
      <c r="F72" s="118" t="s">
        <v>509</v>
      </c>
      <c r="G72" s="118" t="s">
        <v>510</v>
      </c>
      <c r="H72" s="118" t="s">
        <v>511</v>
      </c>
      <c r="I72" s="122" t="s">
        <v>512</v>
      </c>
      <c r="J72" s="66" t="s">
        <v>513</v>
      </c>
      <c r="K72" s="66" t="s">
        <v>514</v>
      </c>
    </row>
    <row r="73" spans="1:12">
      <c r="A73" s="253" t="s">
        <v>229</v>
      </c>
      <c r="B73" s="254" t="s">
        <v>151</v>
      </c>
      <c r="C73" s="255">
        <v>0.25</v>
      </c>
      <c r="D73" s="255">
        <f>$AD$30*C73</f>
        <v>1.33</v>
      </c>
      <c r="E73" s="256">
        <v>0.01</v>
      </c>
      <c r="F73" s="255">
        <v>0.5</v>
      </c>
      <c r="G73" s="255">
        <f>E73*C73</f>
        <v>0.0025</v>
      </c>
      <c r="H73" s="257">
        <f>(G73+I73)/2</f>
        <v>0.06125</v>
      </c>
      <c r="I73" s="258">
        <v>0.12</v>
      </c>
      <c r="J73" s="259">
        <f>G73*D73</f>
        <v>0.003325</v>
      </c>
      <c r="K73" s="260">
        <f>I73*D73</f>
        <v>0.1596</v>
      </c>
    </row>
    <row r="74" spans="1:12">
      <c r="A74" s="261" t="s">
        <v>105</v>
      </c>
      <c r="B74" s="262" t="s">
        <v>151</v>
      </c>
      <c r="C74" s="263">
        <v>0.25</v>
      </c>
      <c r="D74" s="263">
        <f t="shared" ref="D73:D79" si="37">$AD$30*C74</f>
        <v>1.33</v>
      </c>
      <c r="E74" s="264">
        <v>0.51</v>
      </c>
      <c r="F74" s="263">
        <v>1</v>
      </c>
      <c r="G74" s="263">
        <f t="shared" ref="G74:G79" si="38">E74*C74</f>
        <v>0.1275</v>
      </c>
      <c r="H74" s="265">
        <f t="shared" ref="H74:H79" si="39">(G74+I74)/2</f>
        <v>0.18875</v>
      </c>
      <c r="I74" s="266">
        <f t="shared" ref="I74:I79" si="40">F74*C74</f>
        <v>0.25</v>
      </c>
      <c r="J74" s="267">
        <f t="shared" ref="J74:J79" si="41">G74*D74</f>
        <v>0.169575</v>
      </c>
      <c r="K74" s="268">
        <f t="shared" ref="K74:K79" si="42">I74*D74</f>
        <v>0.3325</v>
      </c>
    </row>
    <row r="75" spans="1:12">
      <c r="A75" s="261" t="s">
        <v>105</v>
      </c>
      <c r="B75" s="262" t="s">
        <v>232</v>
      </c>
      <c r="C75" s="263">
        <v>0.5</v>
      </c>
      <c r="D75" s="263">
        <f t="shared" si="37"/>
        <v>2.66</v>
      </c>
      <c r="E75" s="264">
        <v>0.25</v>
      </c>
      <c r="F75" s="263">
        <v>0.6</v>
      </c>
      <c r="G75" s="263">
        <f t="shared" si="38"/>
        <v>0.125</v>
      </c>
      <c r="H75" s="265">
        <f t="shared" si="39"/>
        <v>0.2125</v>
      </c>
      <c r="I75" s="266">
        <f t="shared" si="40"/>
        <v>0.3</v>
      </c>
      <c r="J75" s="269">
        <f t="shared" si="41"/>
        <v>0.3325</v>
      </c>
      <c r="K75" s="258">
        <f t="shared" si="42"/>
        <v>0.798</v>
      </c>
    </row>
    <row r="76" spans="1:12">
      <c r="A76" s="270" t="s">
        <v>47</v>
      </c>
      <c r="B76" s="271" t="s">
        <v>232</v>
      </c>
      <c r="C76" s="272">
        <v>0.5</v>
      </c>
      <c r="D76" s="272">
        <f t="shared" si="37"/>
        <v>2.66</v>
      </c>
      <c r="E76" s="273">
        <v>0.61</v>
      </c>
      <c r="F76" s="272">
        <v>1</v>
      </c>
      <c r="G76" s="272">
        <f t="shared" si="38"/>
        <v>0.305</v>
      </c>
      <c r="H76" s="274">
        <f t="shared" si="39"/>
        <v>0.4025</v>
      </c>
      <c r="I76" s="275">
        <f t="shared" si="40"/>
        <v>0.5</v>
      </c>
      <c r="J76" s="267">
        <f t="shared" si="41"/>
        <v>0.8113</v>
      </c>
      <c r="K76" s="268">
        <f t="shared" si="42"/>
        <v>1.33</v>
      </c>
    </row>
    <row r="77" spans="1:12">
      <c r="A77" s="276" t="s">
        <v>47</v>
      </c>
      <c r="B77" s="277" t="s">
        <v>235</v>
      </c>
      <c r="C77" s="278">
        <v>1</v>
      </c>
      <c r="D77" s="278">
        <f t="shared" si="37"/>
        <v>5.32</v>
      </c>
      <c r="E77" s="279">
        <v>0.25</v>
      </c>
      <c r="F77" s="278">
        <v>0.4</v>
      </c>
      <c r="G77" s="278">
        <f t="shared" si="38"/>
        <v>0.25</v>
      </c>
      <c r="H77" s="280">
        <f t="shared" si="39"/>
        <v>0.325</v>
      </c>
      <c r="I77" s="281">
        <f t="shared" si="40"/>
        <v>0.4</v>
      </c>
      <c r="J77" s="269">
        <f t="shared" si="41"/>
        <v>1.33</v>
      </c>
      <c r="K77" s="258">
        <f t="shared" si="42"/>
        <v>2.128</v>
      </c>
    </row>
    <row r="78" spans="1:12">
      <c r="A78" s="282" t="s">
        <v>52</v>
      </c>
      <c r="B78" s="283" t="s">
        <v>235</v>
      </c>
      <c r="C78" s="284">
        <v>1</v>
      </c>
      <c r="D78" s="284">
        <f t="shared" si="37"/>
        <v>5.32</v>
      </c>
      <c r="E78" s="285">
        <v>0.41</v>
      </c>
      <c r="F78" s="284">
        <v>0.8</v>
      </c>
      <c r="G78" s="284">
        <f t="shared" si="38"/>
        <v>0.41</v>
      </c>
      <c r="H78" s="286">
        <f t="shared" si="39"/>
        <v>0.605</v>
      </c>
      <c r="I78" s="287">
        <f t="shared" si="40"/>
        <v>0.8</v>
      </c>
      <c r="J78" s="267">
        <f t="shared" si="41"/>
        <v>2.1812</v>
      </c>
      <c r="K78" s="258">
        <f t="shared" si="42"/>
        <v>4.256</v>
      </c>
    </row>
    <row r="79" ht="14.25" spans="1:12">
      <c r="A79" s="288" t="s">
        <v>61</v>
      </c>
      <c r="B79" s="289" t="s">
        <v>235</v>
      </c>
      <c r="C79" s="290">
        <v>1</v>
      </c>
      <c r="D79" s="290">
        <f t="shared" si="37"/>
        <v>5.32</v>
      </c>
      <c r="E79" s="291">
        <v>0.81</v>
      </c>
      <c r="F79" s="290">
        <v>1</v>
      </c>
      <c r="G79" s="290">
        <f t="shared" si="38"/>
        <v>0.81</v>
      </c>
      <c r="H79" s="292">
        <f t="shared" si="39"/>
        <v>0.905</v>
      </c>
      <c r="I79" s="293">
        <f t="shared" si="40"/>
        <v>1</v>
      </c>
      <c r="J79" s="294">
        <f t="shared" si="41"/>
        <v>4.3092</v>
      </c>
      <c r="K79" s="295">
        <f t="shared" si="42"/>
        <v>5.32</v>
      </c>
    </row>
    <row r="84" spans="6:9">
      <c r="F84" s="1">
        <v>100</v>
      </c>
    </row>
    <row r="86" spans="6:9">
      <c r="G86" s="1" t="s">
        <v>515</v>
      </c>
      <c r="H86" s="1" t="s">
        <v>47</v>
      </c>
      <c r="I86" s="1" t="s">
        <v>61</v>
      </c>
    </row>
    <row r="87" spans="6:9">
      <c r="F87" s="2">
        <v>0.25</v>
      </c>
    </row>
    <row r="88" spans="6:9">
      <c r="F88">
        <f>F84*F87</f>
        <v>25</v>
      </c>
    </row>
    <row r="103" spans="1:2">
      <c r="A103" s="135" t="s">
        <v>375</v>
      </c>
      <c r="B103">
        <v>1</v>
      </c>
    </row>
    <row r="104" spans="1:2">
      <c r="A104" s="135" t="s">
        <v>343</v>
      </c>
      <c r="B104">
        <v>1</v>
      </c>
    </row>
    <row r="105" spans="1:2">
      <c r="A105" s="135" t="s">
        <v>376</v>
      </c>
      <c r="B105">
        <v>1</v>
      </c>
    </row>
    <row r="106" spans="1:2">
      <c r="A106" s="135" t="s">
        <v>337</v>
      </c>
      <c r="B106">
        <v>1</v>
      </c>
    </row>
    <row r="107" spans="1:2">
      <c r="A107" s="135" t="s">
        <v>341</v>
      </c>
      <c r="B107">
        <v>1</v>
      </c>
    </row>
    <row r="108" spans="1:2">
      <c r="A108" s="135" t="s">
        <v>342</v>
      </c>
      <c r="B108">
        <v>1</v>
      </c>
    </row>
    <row r="109" spans="1:2">
      <c r="A109" s="135" t="s">
        <v>340</v>
      </c>
      <c r="B109">
        <v>1</v>
      </c>
    </row>
    <row r="110" spans="1:2">
      <c r="A110" s="135" t="s">
        <v>339</v>
      </c>
      <c r="B110">
        <v>1</v>
      </c>
    </row>
    <row r="111" spans="1:2">
      <c r="A111" s="49" t="s">
        <v>349</v>
      </c>
      <c r="B111">
        <v>1</v>
      </c>
    </row>
    <row r="112" spans="1:2">
      <c r="A112" s="49" t="s">
        <v>351</v>
      </c>
      <c r="B112">
        <v>1</v>
      </c>
    </row>
    <row r="113" spans="1:2">
      <c r="A113" s="49" t="s">
        <v>352</v>
      </c>
      <c r="B113">
        <v>1</v>
      </c>
    </row>
    <row r="114" spans="1:2">
      <c r="A114" s="49" t="s">
        <v>348</v>
      </c>
      <c r="B114">
        <v>1</v>
      </c>
    </row>
    <row r="115" spans="1:2">
      <c r="A115" s="49" t="s">
        <v>350</v>
      </c>
      <c r="B115">
        <v>1</v>
      </c>
    </row>
    <row r="116" ht="97.8" customHeight="1" spans="1:2">
      <c r="A116" s="49" t="s">
        <v>377</v>
      </c>
      <c r="B116">
        <v>1</v>
      </c>
    </row>
    <row r="117" spans="1:2">
      <c r="A117" s="49" t="s">
        <v>378</v>
      </c>
      <c r="B117">
        <v>1</v>
      </c>
    </row>
    <row r="118" spans="1:2">
      <c r="A118" s="49" t="s">
        <v>345</v>
      </c>
    </row>
    <row r="119" spans="1:2">
      <c r="A119" s="1" t="s">
        <v>338</v>
      </c>
    </row>
    <row r="120" ht="121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DC3E6"/>
  </sheetPr>
  <dimension ref="A1:AD120"/>
  <sheetViews>
    <sheetView topLeftCell="A7" workbookViewId="0">
      <pane xSplit="2" topLeftCell="H1" activePane="topRight" state="frozen"/>
      <selection/>
      <selection pane="topRight" activeCell="H14" sqref="H14:H28"/>
    </sheetView>
  </sheetViews>
  <sheetFormatPr defaultColWidth="9" defaultRowHeight="13.5"/>
  <cols>
    <col min="1" max="1" width="13.1916666666667" customWidth="1"/>
    <col min="2" max="2" width="16.375" customWidth="1"/>
    <col min="3" max="12" width="15" customWidth="1"/>
    <col min="13" max="13" width="10.875" customWidth="1"/>
    <col min="14" max="14" width="11.5" customWidth="1"/>
    <col min="15" max="15" width="14.25" customWidth="1"/>
    <col min="16" max="16" width="13.75" customWidth="1"/>
    <col min="17" max="17" width="27.75" customWidth="1"/>
    <col min="18" max="22" width="13.75" customWidth="1"/>
    <col min="23" max="23" width="12.875" customWidth="1"/>
    <col min="24" max="24" width="15" customWidth="1"/>
    <col min="25" max="26" width="13.75" customWidth="1"/>
    <col min="27" max="27" width="14.4416666666667" customWidth="1"/>
    <col min="28" max="28" width="13.75" customWidth="1"/>
    <col min="29" max="31" width="14" customWidth="1"/>
  </cols>
  <sheetData>
    <row r="1" ht="14.25"/>
    <row r="2" ht="34.15" customHeight="1" spans="1:30">
      <c r="A2" s="115"/>
      <c r="B2" s="116"/>
      <c r="C2" s="117" t="s">
        <v>334</v>
      </c>
      <c r="D2" s="118" t="s">
        <v>176</v>
      </c>
      <c r="E2" s="118" t="s">
        <v>191</v>
      </c>
      <c r="F2" s="118" t="s">
        <v>179</v>
      </c>
      <c r="G2" s="119" t="s">
        <v>150</v>
      </c>
      <c r="H2" s="119" t="s">
        <v>158</v>
      </c>
      <c r="I2" s="119" t="s">
        <v>165</v>
      </c>
      <c r="J2" s="119" t="s">
        <v>174</v>
      </c>
      <c r="K2" s="120" t="s">
        <v>172</v>
      </c>
      <c r="M2" s="121" t="s">
        <v>383</v>
      </c>
      <c r="N2" s="122">
        <v>1</v>
      </c>
      <c r="O2" s="122">
        <v>2</v>
      </c>
      <c r="P2" s="122">
        <v>3</v>
      </c>
      <c r="Q2" s="122">
        <v>4</v>
      </c>
      <c r="R2" s="122">
        <v>5</v>
      </c>
      <c r="S2" s="122">
        <v>6</v>
      </c>
      <c r="T2" s="122">
        <v>7</v>
      </c>
      <c r="U2" s="122">
        <v>8</v>
      </c>
      <c r="V2" s="122">
        <v>9</v>
      </c>
    </row>
    <row r="3" ht="20.85" customHeight="1" spans="1:30">
      <c r="A3" s="123" t="s">
        <v>384</v>
      </c>
      <c r="B3" s="124"/>
      <c r="C3" s="125" t="s">
        <v>335</v>
      </c>
      <c r="D3" s="126" t="s">
        <v>335</v>
      </c>
      <c r="E3" s="126" t="s">
        <v>335</v>
      </c>
      <c r="F3" s="126" t="s">
        <v>335</v>
      </c>
      <c r="G3" s="126" t="s">
        <v>335</v>
      </c>
      <c r="H3" s="126" t="s">
        <v>335</v>
      </c>
      <c r="I3" s="126" t="s">
        <v>335</v>
      </c>
      <c r="J3" s="126" t="s">
        <v>335</v>
      </c>
      <c r="K3" s="127" t="s">
        <v>335</v>
      </c>
      <c r="M3" s="71"/>
      <c r="N3" s="128"/>
      <c r="O3" s="128"/>
      <c r="P3" s="128" t="s">
        <v>385</v>
      </c>
      <c r="Q3" s="128"/>
      <c r="R3" s="129" t="s">
        <v>345</v>
      </c>
      <c r="S3" s="129"/>
      <c r="T3" s="129" t="s">
        <v>343</v>
      </c>
      <c r="U3" s="130"/>
      <c r="V3" s="131" t="s">
        <v>386</v>
      </c>
    </row>
    <row r="4" ht="22.5" customHeight="1" spans="1:30">
      <c r="A4" s="132" t="s">
        <v>387</v>
      </c>
      <c r="B4" s="133">
        <v>1</v>
      </c>
      <c r="C4" s="134" t="s">
        <v>336</v>
      </c>
      <c r="D4" s="135" t="s">
        <v>336</v>
      </c>
      <c r="E4" s="135" t="s">
        <v>336</v>
      </c>
      <c r="F4" s="135" t="s">
        <v>336</v>
      </c>
      <c r="G4" s="135" t="s">
        <v>336</v>
      </c>
      <c r="H4" s="135" t="s">
        <v>336</v>
      </c>
      <c r="I4" s="135" t="s">
        <v>336</v>
      </c>
      <c r="J4" s="135" t="s">
        <v>336</v>
      </c>
      <c r="K4" s="136" t="s">
        <v>336</v>
      </c>
      <c r="M4" s="1"/>
      <c r="N4" s="2"/>
      <c r="O4" s="2"/>
      <c r="P4" s="2"/>
      <c r="Q4" s="2"/>
      <c r="R4" s="39" t="s">
        <v>388</v>
      </c>
      <c r="S4" s="41"/>
      <c r="T4" s="41"/>
      <c r="U4" s="2"/>
      <c r="V4" s="2">
        <v>1</v>
      </c>
    </row>
    <row r="5" ht="20.85" customHeight="1" spans="1:30">
      <c r="A5" s="137" t="s">
        <v>389</v>
      </c>
      <c r="B5" s="138">
        <v>2</v>
      </c>
      <c r="C5" s="134" t="s">
        <v>337</v>
      </c>
      <c r="D5" s="135" t="s">
        <v>337</v>
      </c>
      <c r="E5" s="135" t="s">
        <v>337</v>
      </c>
      <c r="F5" s="135" t="s">
        <v>337</v>
      </c>
      <c r="G5" s="135" t="s">
        <v>339</v>
      </c>
      <c r="H5" s="135" t="s">
        <v>340</v>
      </c>
      <c r="I5" s="135" t="s">
        <v>338</v>
      </c>
      <c r="J5" s="135" t="s">
        <v>341</v>
      </c>
      <c r="K5" s="136" t="s">
        <v>342</v>
      </c>
      <c r="M5" s="1">
        <v>1</v>
      </c>
      <c r="N5" s="1" t="s">
        <v>390</v>
      </c>
      <c r="O5" s="1" t="s">
        <v>391</v>
      </c>
      <c r="R5" s="40">
        <v>1</v>
      </c>
      <c r="S5" s="139" t="s">
        <v>392</v>
      </c>
      <c r="T5" s="40"/>
    </row>
    <row r="6" ht="22.5" customHeight="1" spans="1:30">
      <c r="A6" s="140" t="s">
        <v>393</v>
      </c>
      <c r="B6" s="133">
        <v>3</v>
      </c>
      <c r="C6" s="135" t="s">
        <v>338</v>
      </c>
      <c r="D6" s="135" t="s">
        <v>344</v>
      </c>
      <c r="E6" s="135" t="s">
        <v>344</v>
      </c>
      <c r="F6" s="135" t="s">
        <v>344</v>
      </c>
      <c r="G6" s="135" t="s">
        <v>343</v>
      </c>
      <c r="H6" s="135" t="s">
        <v>343</v>
      </c>
      <c r="I6" s="135" t="s">
        <v>343</v>
      </c>
      <c r="J6" s="135" t="s">
        <v>343</v>
      </c>
      <c r="K6" s="135" t="s">
        <v>343</v>
      </c>
      <c r="M6">
        <v>2</v>
      </c>
      <c r="N6" s="1" t="s">
        <v>179</v>
      </c>
      <c r="O6" s="1" t="s">
        <v>394</v>
      </c>
      <c r="Q6" s="2">
        <v>0.15</v>
      </c>
      <c r="R6" s="40">
        <v>2</v>
      </c>
      <c r="S6" s="39" t="s">
        <v>395</v>
      </c>
      <c r="T6" s="40">
        <v>1000</v>
      </c>
    </row>
    <row r="7" ht="20.85" customHeight="1" spans="1:30">
      <c r="A7" s="141"/>
      <c r="B7" s="133">
        <v>4</v>
      </c>
      <c r="C7" s="142" t="s">
        <v>346</v>
      </c>
      <c r="D7" s="49" t="s">
        <v>346</v>
      </c>
      <c r="E7" s="49" t="s">
        <v>347</v>
      </c>
      <c r="F7" s="49" t="s">
        <v>347</v>
      </c>
      <c r="G7" s="49" t="s">
        <v>348</v>
      </c>
      <c r="H7" s="49" t="s">
        <v>349</v>
      </c>
      <c r="I7" s="49" t="s">
        <v>350</v>
      </c>
      <c r="J7" s="49" t="s">
        <v>351</v>
      </c>
      <c r="K7" s="143" t="s">
        <v>352</v>
      </c>
      <c r="M7">
        <v>3</v>
      </c>
      <c r="N7" s="1" t="s">
        <v>396</v>
      </c>
      <c r="O7" t="s">
        <v>397</v>
      </c>
      <c r="P7">
        <v>500</v>
      </c>
      <c r="R7" s="40">
        <v>3</v>
      </c>
      <c r="S7" s="39" t="s">
        <v>345</v>
      </c>
      <c r="T7" s="40">
        <v>100</v>
      </c>
    </row>
    <row r="8" ht="20.85" customHeight="1" spans="1:30">
      <c r="B8" s="124"/>
      <c r="C8" s="144" t="s">
        <v>389</v>
      </c>
      <c r="D8" s="145" t="s">
        <v>389</v>
      </c>
      <c r="E8" s="145" t="s">
        <v>389</v>
      </c>
      <c r="F8" s="145" t="s">
        <v>389</v>
      </c>
      <c r="G8" s="145" t="s">
        <v>389</v>
      </c>
      <c r="H8" s="145" t="s">
        <v>389</v>
      </c>
      <c r="I8" s="145" t="s">
        <v>389</v>
      </c>
      <c r="J8" s="145" t="s">
        <v>389</v>
      </c>
      <c r="K8" s="146" t="s">
        <v>389</v>
      </c>
      <c r="M8">
        <v>4</v>
      </c>
      <c r="N8" s="1" t="s">
        <v>398</v>
      </c>
      <c r="O8" s="1" t="s">
        <v>399</v>
      </c>
      <c r="P8">
        <v>200</v>
      </c>
      <c r="R8" s="40">
        <v>4</v>
      </c>
      <c r="S8" s="39" t="s">
        <v>400</v>
      </c>
      <c r="T8" s="41">
        <v>0.1</v>
      </c>
    </row>
    <row r="9" ht="20.85" customHeight="1" spans="1:30">
      <c r="B9" s="133">
        <v>1</v>
      </c>
      <c r="C9" s="134" t="s">
        <v>336</v>
      </c>
      <c r="D9" s="147" t="s">
        <v>401</v>
      </c>
      <c r="E9" s="147" t="s">
        <v>401</v>
      </c>
      <c r="F9" s="147" t="s">
        <v>401</v>
      </c>
      <c r="G9" s="147" t="s">
        <v>385</v>
      </c>
      <c r="H9" s="147" t="s">
        <v>385</v>
      </c>
      <c r="I9" s="147" t="s">
        <v>385</v>
      </c>
      <c r="J9" s="147" t="s">
        <v>385</v>
      </c>
      <c r="K9" s="148" t="s">
        <v>385</v>
      </c>
      <c r="M9">
        <v>5</v>
      </c>
      <c r="N9" s="1" t="s">
        <v>402</v>
      </c>
      <c r="O9" s="1" t="s">
        <v>403</v>
      </c>
      <c r="P9" s="1" t="s">
        <v>404</v>
      </c>
      <c r="Q9" s="1" t="s">
        <v>405</v>
      </c>
      <c r="R9" s="40">
        <v>5</v>
      </c>
      <c r="S9" s="39" t="s">
        <v>406</v>
      </c>
      <c r="T9" s="41">
        <v>0.1</v>
      </c>
    </row>
    <row r="10" ht="20.85" customHeight="1" spans="1:30">
      <c r="B10" s="133">
        <v>2</v>
      </c>
      <c r="C10" s="149" t="s">
        <v>400</v>
      </c>
      <c r="D10" s="150" t="s">
        <v>407</v>
      </c>
      <c r="E10" s="150" t="s">
        <v>407</v>
      </c>
      <c r="F10" s="150" t="s">
        <v>407</v>
      </c>
      <c r="G10" s="150" t="s">
        <v>408</v>
      </c>
      <c r="H10" s="150" t="s">
        <v>408</v>
      </c>
      <c r="I10" s="150" t="s">
        <v>408</v>
      </c>
      <c r="J10" s="150" t="s">
        <v>408</v>
      </c>
      <c r="K10" s="151" t="s">
        <v>408</v>
      </c>
      <c r="M10">
        <v>6</v>
      </c>
      <c r="N10" s="1" t="s">
        <v>409</v>
      </c>
      <c r="P10" s="1" t="s">
        <v>410</v>
      </c>
      <c r="R10" s="40">
        <v>6</v>
      </c>
      <c r="S10" s="39" t="s">
        <v>411</v>
      </c>
      <c r="T10" s="41">
        <v>0.1</v>
      </c>
    </row>
    <row r="11" ht="20.85" customHeight="1" spans="1:30">
      <c r="B11" s="152">
        <v>3</v>
      </c>
      <c r="C11" s="153" t="s">
        <v>406</v>
      </c>
      <c r="D11" s="154" t="s">
        <v>412</v>
      </c>
      <c r="E11" s="154" t="s">
        <v>412</v>
      </c>
      <c r="F11" s="154" t="s">
        <v>412</v>
      </c>
      <c r="G11" s="154" t="s">
        <v>412</v>
      </c>
      <c r="H11" s="154" t="s">
        <v>413</v>
      </c>
      <c r="I11" s="154" t="s">
        <v>413</v>
      </c>
      <c r="J11" s="154" t="s">
        <v>413</v>
      </c>
      <c r="K11" s="155" t="s">
        <v>413</v>
      </c>
      <c r="M11">
        <v>7</v>
      </c>
      <c r="N11" s="156" t="s">
        <v>414</v>
      </c>
      <c r="R11" s="40">
        <v>7</v>
      </c>
      <c r="S11" s="39" t="s">
        <v>415</v>
      </c>
      <c r="T11" s="41">
        <v>0.1</v>
      </c>
    </row>
    <row r="12" ht="15.75" customHeight="1" spans="1:30">
      <c r="F12" s="16" t="s">
        <v>416</v>
      </c>
      <c r="G12" s="17"/>
      <c r="H12" s="17"/>
      <c r="J12" s="157"/>
      <c r="M12">
        <v>8</v>
      </c>
      <c r="N12" s="1" t="s">
        <v>417</v>
      </c>
    </row>
    <row r="13" s="114" customFormat="1" ht="27.5" customHeight="1" spans="1:30">
      <c r="A13" s="158" t="s">
        <v>40</v>
      </c>
      <c r="B13" s="159" t="s">
        <v>418</v>
      </c>
      <c r="C13" s="160" t="s">
        <v>419</v>
      </c>
      <c r="D13" s="161" t="s">
        <v>420</v>
      </c>
      <c r="E13" s="161" t="s">
        <v>421</v>
      </c>
      <c r="F13" s="162" t="s">
        <v>422</v>
      </c>
      <c r="G13" s="163" t="s">
        <v>423</v>
      </c>
      <c r="H13" s="164" t="s">
        <v>424</v>
      </c>
      <c r="I13" s="165" t="s">
        <v>425</v>
      </c>
      <c r="J13" s="166" t="s">
        <v>426</v>
      </c>
      <c r="K13" s="167" t="s">
        <v>427</v>
      </c>
      <c r="L13" s="161" t="s">
        <v>428</v>
      </c>
      <c r="M13" s="161" t="s">
        <v>429</v>
      </c>
      <c r="N13" s="161" t="s">
        <v>430</v>
      </c>
      <c r="O13" s="168" t="s">
        <v>431</v>
      </c>
      <c r="P13" s="169" t="s">
        <v>432</v>
      </c>
      <c r="Q13" s="170" t="s">
        <v>433</v>
      </c>
      <c r="R13" s="170" t="s">
        <v>434</v>
      </c>
      <c r="S13" s="170" t="s">
        <v>435</v>
      </c>
      <c r="T13" s="171" t="s">
        <v>436</v>
      </c>
      <c r="U13" s="167" t="s">
        <v>437</v>
      </c>
      <c r="V13" s="161" t="s">
        <v>438</v>
      </c>
      <c r="W13" s="161" t="s">
        <v>439</v>
      </c>
      <c r="X13" s="161" t="s">
        <v>440</v>
      </c>
      <c r="Y13" s="168" t="s">
        <v>441</v>
      </c>
      <c r="Z13" s="169" t="s">
        <v>442</v>
      </c>
      <c r="AA13" s="170" t="s">
        <v>443</v>
      </c>
      <c r="AB13" s="170" t="s">
        <v>444</v>
      </c>
      <c r="AC13" s="170" t="s">
        <v>445</v>
      </c>
      <c r="AD13" s="166" t="s">
        <v>446</v>
      </c>
    </row>
    <row r="14" ht="18.35" customHeight="1" spans="1:30">
      <c r="A14" s="172" t="s">
        <v>447</v>
      </c>
      <c r="B14" s="172" t="s">
        <v>386</v>
      </c>
      <c r="C14" s="53">
        <v>1</v>
      </c>
      <c r="D14" s="173">
        <f t="shared" ref="D14:D29" si="0">F14/I14</f>
        <v>7</v>
      </c>
      <c r="E14" s="174">
        <f t="shared" ref="E14:E29" si="1">D14</f>
        <v>7</v>
      </c>
      <c r="F14" s="175">
        <f>(H14*C14)</f>
        <v>700</v>
      </c>
      <c r="G14" s="176">
        <f>F14*9</f>
        <v>6300</v>
      </c>
      <c r="H14" s="177">
        <v>700</v>
      </c>
      <c r="I14" s="178">
        <v>100</v>
      </c>
      <c r="J14" s="179">
        <f t="shared" ref="J14:J29" si="2">F14</f>
        <v>700</v>
      </c>
      <c r="K14" s="179">
        <f t="shared" ref="K14:AD14" si="3">$J14*K$30</f>
        <v>728</v>
      </c>
      <c r="L14" s="179">
        <f t="shared" si="3"/>
        <v>756</v>
      </c>
      <c r="M14" s="179">
        <f t="shared" si="3"/>
        <v>784</v>
      </c>
      <c r="N14" s="179">
        <f t="shared" si="3"/>
        <v>812</v>
      </c>
      <c r="O14" s="179">
        <f t="shared" si="3"/>
        <v>868</v>
      </c>
      <c r="P14" s="179">
        <f t="shared" si="3"/>
        <v>924</v>
      </c>
      <c r="Q14" s="179">
        <f t="shared" si="3"/>
        <v>980</v>
      </c>
      <c r="R14" s="179">
        <f t="shared" si="3"/>
        <v>1036</v>
      </c>
      <c r="S14" s="179">
        <f t="shared" si="3"/>
        <v>1204</v>
      </c>
      <c r="T14" s="179">
        <f t="shared" si="3"/>
        <v>1372</v>
      </c>
      <c r="U14" s="179">
        <f t="shared" si="3"/>
        <v>1540</v>
      </c>
      <c r="V14" s="179">
        <f t="shared" si="3"/>
        <v>1876</v>
      </c>
      <c r="W14" s="179">
        <f t="shared" si="3"/>
        <v>2212</v>
      </c>
      <c r="X14" s="179">
        <f t="shared" si="3"/>
        <v>2548</v>
      </c>
      <c r="Y14" s="179">
        <f t="shared" si="3"/>
        <v>2884</v>
      </c>
      <c r="Z14" s="179">
        <f t="shared" si="3"/>
        <v>3052</v>
      </c>
      <c r="AA14" s="179">
        <f t="shared" si="3"/>
        <v>3220</v>
      </c>
      <c r="AB14" s="179">
        <f t="shared" si="3"/>
        <v>3388</v>
      </c>
      <c r="AC14" s="179">
        <f t="shared" si="3"/>
        <v>3556</v>
      </c>
      <c r="AD14" s="179">
        <f t="shared" si="3"/>
        <v>3724</v>
      </c>
    </row>
    <row r="15" ht="18.35" customHeight="1" spans="1:30">
      <c r="A15" s="135" t="s">
        <v>447</v>
      </c>
      <c r="B15" s="135" t="s">
        <v>344</v>
      </c>
      <c r="C15" s="53">
        <v>1</v>
      </c>
      <c r="D15" s="173">
        <f t="shared" si="0"/>
        <v>2.5</v>
      </c>
      <c r="E15" s="173">
        <f t="shared" si="1"/>
        <v>2.5</v>
      </c>
      <c r="F15" s="175">
        <f>(H15*C15)</f>
        <v>250</v>
      </c>
      <c r="G15" s="176">
        <f>F15*5</f>
        <v>1250</v>
      </c>
      <c r="H15" s="180">
        <v>250</v>
      </c>
      <c r="I15" s="181">
        <v>100</v>
      </c>
      <c r="J15" s="55">
        <f t="shared" si="2"/>
        <v>250</v>
      </c>
      <c r="K15" s="55">
        <f t="shared" ref="K15:AD15" si="4">$J15*K$30</f>
        <v>260</v>
      </c>
      <c r="L15" s="55">
        <f t="shared" si="4"/>
        <v>270</v>
      </c>
      <c r="M15" s="55">
        <f t="shared" si="4"/>
        <v>280</v>
      </c>
      <c r="N15" s="55">
        <f t="shared" si="4"/>
        <v>290</v>
      </c>
      <c r="O15" s="55">
        <f t="shared" si="4"/>
        <v>310</v>
      </c>
      <c r="P15" s="55">
        <f t="shared" si="4"/>
        <v>330</v>
      </c>
      <c r="Q15" s="55">
        <f t="shared" si="4"/>
        <v>350</v>
      </c>
      <c r="R15" s="55">
        <f t="shared" si="4"/>
        <v>370</v>
      </c>
      <c r="S15" s="55">
        <f t="shared" si="4"/>
        <v>430</v>
      </c>
      <c r="T15" s="55">
        <f t="shared" si="4"/>
        <v>490</v>
      </c>
      <c r="U15" s="55">
        <f t="shared" si="4"/>
        <v>550</v>
      </c>
      <c r="V15" s="55">
        <f t="shared" si="4"/>
        <v>670</v>
      </c>
      <c r="W15" s="55">
        <f t="shared" si="4"/>
        <v>790</v>
      </c>
      <c r="X15" s="55">
        <f t="shared" si="4"/>
        <v>910</v>
      </c>
      <c r="Y15" s="55">
        <f t="shared" si="4"/>
        <v>1030</v>
      </c>
      <c r="Z15" s="55">
        <f t="shared" si="4"/>
        <v>1090</v>
      </c>
      <c r="AA15" s="55">
        <f t="shared" si="4"/>
        <v>1150</v>
      </c>
      <c r="AB15" s="55">
        <f t="shared" si="4"/>
        <v>1210</v>
      </c>
      <c r="AC15" s="55">
        <f t="shared" si="4"/>
        <v>1270</v>
      </c>
      <c r="AD15" s="55">
        <f t="shared" si="4"/>
        <v>1330</v>
      </c>
    </row>
    <row r="16" ht="18.35" customHeight="1" spans="1:30">
      <c r="A16" s="135" t="s">
        <v>447</v>
      </c>
      <c r="B16" s="135" t="s">
        <v>448</v>
      </c>
      <c r="C16" s="53">
        <v>1</v>
      </c>
      <c r="D16" s="182">
        <f t="shared" si="0"/>
        <v>0.0015</v>
      </c>
      <c r="E16" s="59">
        <f t="shared" si="1"/>
        <v>0.0015</v>
      </c>
      <c r="F16" s="183">
        <f t="shared" ref="F16:F29" si="5">C16*H16</f>
        <v>0.15</v>
      </c>
      <c r="G16" s="184">
        <f>F16*3</f>
        <v>0.45</v>
      </c>
      <c r="H16" s="185">
        <v>0.15</v>
      </c>
      <c r="I16" s="181">
        <v>100</v>
      </c>
      <c r="J16" s="60">
        <f t="shared" si="2"/>
        <v>0.15</v>
      </c>
      <c r="K16" s="60">
        <f t="shared" ref="K16:AD16" si="6">$J16*K$30</f>
        <v>0.156</v>
      </c>
      <c r="L16" s="60">
        <f t="shared" si="6"/>
        <v>0.162</v>
      </c>
      <c r="M16" s="60">
        <f t="shared" si="6"/>
        <v>0.168</v>
      </c>
      <c r="N16" s="60">
        <f t="shared" si="6"/>
        <v>0.174</v>
      </c>
      <c r="O16" s="60">
        <f t="shared" si="6"/>
        <v>0.186</v>
      </c>
      <c r="P16" s="60">
        <f t="shared" si="6"/>
        <v>0.198</v>
      </c>
      <c r="Q16" s="60">
        <f t="shared" si="6"/>
        <v>0.21</v>
      </c>
      <c r="R16" s="60">
        <f t="shared" si="6"/>
        <v>0.222</v>
      </c>
      <c r="S16" s="60">
        <f t="shared" si="6"/>
        <v>0.258</v>
      </c>
      <c r="T16" s="60">
        <f t="shared" si="6"/>
        <v>0.294</v>
      </c>
      <c r="U16" s="60">
        <f t="shared" si="6"/>
        <v>0.33</v>
      </c>
      <c r="V16" s="60">
        <f t="shared" si="6"/>
        <v>0.402</v>
      </c>
      <c r="W16" s="60">
        <f t="shared" si="6"/>
        <v>0.474</v>
      </c>
      <c r="X16" s="60">
        <f t="shared" si="6"/>
        <v>0.546</v>
      </c>
      <c r="Y16" s="60">
        <f t="shared" si="6"/>
        <v>0.618</v>
      </c>
      <c r="Z16" s="60">
        <f t="shared" si="6"/>
        <v>0.654</v>
      </c>
      <c r="AA16" s="60">
        <f t="shared" si="6"/>
        <v>0.69</v>
      </c>
      <c r="AB16" s="60">
        <f t="shared" si="6"/>
        <v>0.726</v>
      </c>
      <c r="AC16" s="60">
        <f t="shared" si="6"/>
        <v>0.762</v>
      </c>
      <c r="AD16" s="60">
        <f t="shared" si="6"/>
        <v>0.798</v>
      </c>
    </row>
    <row r="17" ht="18.35" customHeight="1" spans="1:30">
      <c r="A17" s="135" t="s">
        <v>447</v>
      </c>
      <c r="B17" s="135" t="s">
        <v>449</v>
      </c>
      <c r="C17" s="53">
        <v>1</v>
      </c>
      <c r="D17" s="182">
        <f t="shared" si="0"/>
        <v>0.0015</v>
      </c>
      <c r="E17" s="182">
        <f t="shared" si="1"/>
        <v>0.0015</v>
      </c>
      <c r="F17" s="183">
        <f t="shared" si="5"/>
        <v>0.15</v>
      </c>
      <c r="G17" s="176"/>
      <c r="H17" s="185">
        <v>0.15</v>
      </c>
      <c r="I17" s="181">
        <v>100</v>
      </c>
      <c r="J17" s="60">
        <f t="shared" si="2"/>
        <v>0.15</v>
      </c>
      <c r="K17" s="59">
        <f t="shared" ref="K17:AD17" si="7">$J17*K$30</f>
        <v>0.156</v>
      </c>
      <c r="L17" s="59">
        <f t="shared" si="7"/>
        <v>0.162</v>
      </c>
      <c r="M17" s="59">
        <f t="shared" si="7"/>
        <v>0.168</v>
      </c>
      <c r="N17" s="59">
        <f t="shared" si="7"/>
        <v>0.174</v>
      </c>
      <c r="O17" s="59">
        <f t="shared" si="7"/>
        <v>0.186</v>
      </c>
      <c r="P17" s="59">
        <f t="shared" si="7"/>
        <v>0.198</v>
      </c>
      <c r="Q17" s="59">
        <f t="shared" si="7"/>
        <v>0.21</v>
      </c>
      <c r="R17" s="59">
        <f t="shared" si="7"/>
        <v>0.222</v>
      </c>
      <c r="S17" s="59">
        <f t="shared" si="7"/>
        <v>0.258</v>
      </c>
      <c r="T17" s="59">
        <f t="shared" si="7"/>
        <v>0.294</v>
      </c>
      <c r="U17" s="59">
        <f t="shared" si="7"/>
        <v>0.33</v>
      </c>
      <c r="V17" s="59">
        <f t="shared" si="7"/>
        <v>0.402</v>
      </c>
      <c r="W17" s="59">
        <f t="shared" si="7"/>
        <v>0.474</v>
      </c>
      <c r="X17" s="59">
        <f t="shared" si="7"/>
        <v>0.546</v>
      </c>
      <c r="Y17" s="59">
        <f t="shared" si="7"/>
        <v>0.618</v>
      </c>
      <c r="Z17" s="59">
        <f t="shared" si="7"/>
        <v>0.654</v>
      </c>
      <c r="AA17" s="59">
        <f t="shared" si="7"/>
        <v>0.69</v>
      </c>
      <c r="AB17" s="59">
        <f t="shared" si="7"/>
        <v>0.726</v>
      </c>
      <c r="AC17" s="59">
        <f t="shared" si="7"/>
        <v>0.762</v>
      </c>
      <c r="AD17" s="59">
        <f t="shared" si="7"/>
        <v>0.798</v>
      </c>
    </row>
    <row r="18" ht="18.35" customHeight="1" spans="1:30">
      <c r="A18" s="135" t="s">
        <v>447</v>
      </c>
      <c r="B18" s="135" t="s">
        <v>450</v>
      </c>
      <c r="C18" s="53">
        <v>1</v>
      </c>
      <c r="D18" s="182">
        <f t="shared" si="0"/>
        <v>0.0015</v>
      </c>
      <c r="E18" s="182">
        <f t="shared" si="1"/>
        <v>0.0015</v>
      </c>
      <c r="F18" s="183">
        <f t="shared" si="5"/>
        <v>0.15</v>
      </c>
      <c r="G18" s="176"/>
      <c r="H18" s="185">
        <v>0.15</v>
      </c>
      <c r="I18" s="181">
        <v>100</v>
      </c>
      <c r="J18" s="60">
        <f t="shared" si="2"/>
        <v>0.15</v>
      </c>
      <c r="K18" s="59">
        <f t="shared" ref="K18:AD18" si="8">$J18*K$30</f>
        <v>0.156</v>
      </c>
      <c r="L18" s="59">
        <f t="shared" si="8"/>
        <v>0.162</v>
      </c>
      <c r="M18" s="59">
        <f t="shared" si="8"/>
        <v>0.168</v>
      </c>
      <c r="N18" s="59">
        <f t="shared" si="8"/>
        <v>0.174</v>
      </c>
      <c r="O18" s="59">
        <f t="shared" si="8"/>
        <v>0.186</v>
      </c>
      <c r="P18" s="59">
        <f t="shared" si="8"/>
        <v>0.198</v>
      </c>
      <c r="Q18" s="59">
        <f t="shared" si="8"/>
        <v>0.21</v>
      </c>
      <c r="R18" s="59">
        <f t="shared" si="8"/>
        <v>0.222</v>
      </c>
      <c r="S18" s="59">
        <f t="shared" si="8"/>
        <v>0.258</v>
      </c>
      <c r="T18" s="59">
        <f t="shared" si="8"/>
        <v>0.294</v>
      </c>
      <c r="U18" s="59">
        <f t="shared" si="8"/>
        <v>0.33</v>
      </c>
      <c r="V18" s="59">
        <f t="shared" si="8"/>
        <v>0.402</v>
      </c>
      <c r="W18" s="59">
        <f t="shared" si="8"/>
        <v>0.474</v>
      </c>
      <c r="X18" s="59">
        <f t="shared" si="8"/>
        <v>0.546</v>
      </c>
      <c r="Y18" s="59">
        <f t="shared" si="8"/>
        <v>0.618</v>
      </c>
      <c r="Z18" s="59">
        <f t="shared" si="8"/>
        <v>0.654</v>
      </c>
      <c r="AA18" s="59">
        <f t="shared" si="8"/>
        <v>0.69</v>
      </c>
      <c r="AB18" s="59">
        <f t="shared" si="8"/>
        <v>0.726</v>
      </c>
      <c r="AC18" s="59">
        <f t="shared" si="8"/>
        <v>0.762</v>
      </c>
      <c r="AD18" s="59">
        <f t="shared" si="8"/>
        <v>0.798</v>
      </c>
    </row>
    <row r="19" ht="18.35" customHeight="1" spans="1:30">
      <c r="A19" s="135" t="s">
        <v>447</v>
      </c>
      <c r="B19" s="135" t="s">
        <v>451</v>
      </c>
      <c r="C19" s="53">
        <v>1</v>
      </c>
      <c r="D19" s="182">
        <f t="shared" si="0"/>
        <v>0.0015</v>
      </c>
      <c r="E19" s="182">
        <f t="shared" si="1"/>
        <v>0.0015</v>
      </c>
      <c r="F19" s="183">
        <f t="shared" si="5"/>
        <v>0.15</v>
      </c>
      <c r="G19" s="176"/>
      <c r="H19" s="185">
        <v>0.15</v>
      </c>
      <c r="I19" s="181">
        <v>100</v>
      </c>
      <c r="J19" s="60">
        <f t="shared" si="2"/>
        <v>0.15</v>
      </c>
      <c r="K19" s="59">
        <f t="shared" ref="K19:AD19" si="9">$J19*K$30</f>
        <v>0.156</v>
      </c>
      <c r="L19" s="59">
        <f t="shared" si="9"/>
        <v>0.162</v>
      </c>
      <c r="M19" s="59">
        <f t="shared" si="9"/>
        <v>0.168</v>
      </c>
      <c r="N19" s="59">
        <f t="shared" si="9"/>
        <v>0.174</v>
      </c>
      <c r="O19" s="59">
        <f t="shared" si="9"/>
        <v>0.186</v>
      </c>
      <c r="P19" s="59">
        <f t="shared" si="9"/>
        <v>0.198</v>
      </c>
      <c r="Q19" s="59">
        <f t="shared" si="9"/>
        <v>0.21</v>
      </c>
      <c r="R19" s="59">
        <f t="shared" si="9"/>
        <v>0.222</v>
      </c>
      <c r="S19" s="59">
        <f t="shared" si="9"/>
        <v>0.258</v>
      </c>
      <c r="T19" s="59">
        <f t="shared" si="9"/>
        <v>0.294</v>
      </c>
      <c r="U19" s="59">
        <f t="shared" si="9"/>
        <v>0.33</v>
      </c>
      <c r="V19" s="59">
        <f t="shared" si="9"/>
        <v>0.402</v>
      </c>
      <c r="W19" s="59">
        <f t="shared" si="9"/>
        <v>0.474</v>
      </c>
      <c r="X19" s="59">
        <f t="shared" si="9"/>
        <v>0.546</v>
      </c>
      <c r="Y19" s="59">
        <f t="shared" si="9"/>
        <v>0.618</v>
      </c>
      <c r="Z19" s="59">
        <f t="shared" si="9"/>
        <v>0.654</v>
      </c>
      <c r="AA19" s="59">
        <f t="shared" si="9"/>
        <v>0.69</v>
      </c>
      <c r="AB19" s="59">
        <f t="shared" si="9"/>
        <v>0.726</v>
      </c>
      <c r="AC19" s="59">
        <f t="shared" si="9"/>
        <v>0.762</v>
      </c>
      <c r="AD19" s="59">
        <f t="shared" si="9"/>
        <v>0.798</v>
      </c>
    </row>
    <row r="20" ht="18.35" customHeight="1" spans="1:30">
      <c r="A20" s="135" t="s">
        <v>447</v>
      </c>
      <c r="B20" s="135" t="s">
        <v>452</v>
      </c>
      <c r="C20" s="53">
        <v>1</v>
      </c>
      <c r="D20" s="182">
        <f t="shared" si="0"/>
        <v>0.0015</v>
      </c>
      <c r="E20" s="182">
        <f t="shared" si="1"/>
        <v>0.0015</v>
      </c>
      <c r="F20" s="183">
        <f t="shared" si="5"/>
        <v>0.15</v>
      </c>
      <c r="G20" s="176"/>
      <c r="H20" s="185">
        <v>0.15</v>
      </c>
      <c r="I20" s="181">
        <v>100</v>
      </c>
      <c r="J20" s="60">
        <f t="shared" si="2"/>
        <v>0.15</v>
      </c>
      <c r="K20" s="59">
        <f t="shared" ref="K20:AD20" si="10">$J20*K$30</f>
        <v>0.156</v>
      </c>
      <c r="L20" s="59">
        <f t="shared" si="10"/>
        <v>0.162</v>
      </c>
      <c r="M20" s="59">
        <f t="shared" si="10"/>
        <v>0.168</v>
      </c>
      <c r="N20" s="59">
        <f t="shared" si="10"/>
        <v>0.174</v>
      </c>
      <c r="O20" s="59">
        <f t="shared" si="10"/>
        <v>0.186</v>
      </c>
      <c r="P20" s="59">
        <f t="shared" si="10"/>
        <v>0.198</v>
      </c>
      <c r="Q20" s="59">
        <f t="shared" si="10"/>
        <v>0.21</v>
      </c>
      <c r="R20" s="59">
        <f t="shared" si="10"/>
        <v>0.222</v>
      </c>
      <c r="S20" s="59">
        <f t="shared" si="10"/>
        <v>0.258</v>
      </c>
      <c r="T20" s="59">
        <f t="shared" si="10"/>
        <v>0.294</v>
      </c>
      <c r="U20" s="59">
        <f t="shared" si="10"/>
        <v>0.33</v>
      </c>
      <c r="V20" s="59">
        <f t="shared" si="10"/>
        <v>0.402</v>
      </c>
      <c r="W20" s="59">
        <f t="shared" si="10"/>
        <v>0.474</v>
      </c>
      <c r="X20" s="59">
        <f t="shared" si="10"/>
        <v>0.546</v>
      </c>
      <c r="Y20" s="59">
        <f t="shared" si="10"/>
        <v>0.618</v>
      </c>
      <c r="Z20" s="59">
        <f t="shared" si="10"/>
        <v>0.654</v>
      </c>
      <c r="AA20" s="59">
        <f t="shared" si="10"/>
        <v>0.69</v>
      </c>
      <c r="AB20" s="59">
        <f t="shared" si="10"/>
        <v>0.726</v>
      </c>
      <c r="AC20" s="59">
        <f t="shared" si="10"/>
        <v>0.762</v>
      </c>
      <c r="AD20" s="59">
        <f t="shared" si="10"/>
        <v>0.798</v>
      </c>
    </row>
    <row r="21" ht="18.35" customHeight="1" spans="1:30">
      <c r="A21" s="100" t="s">
        <v>447</v>
      </c>
      <c r="B21" s="135" t="s">
        <v>343</v>
      </c>
      <c r="C21" s="53">
        <v>1</v>
      </c>
      <c r="D21" s="174">
        <f t="shared" si="0"/>
        <v>0.15</v>
      </c>
      <c r="E21" s="174">
        <f t="shared" si="1"/>
        <v>0.15</v>
      </c>
      <c r="F21" s="179">
        <f t="shared" si="5"/>
        <v>15</v>
      </c>
      <c r="G21" s="176">
        <f>F21*2</f>
        <v>30</v>
      </c>
      <c r="H21" s="186">
        <v>15</v>
      </c>
      <c r="I21" s="181">
        <v>100</v>
      </c>
      <c r="J21" s="173">
        <f t="shared" si="2"/>
        <v>15</v>
      </c>
      <c r="K21" s="173">
        <f t="shared" ref="K21:AD21" si="11">$J21*K$30</f>
        <v>15.6</v>
      </c>
      <c r="L21" s="173">
        <f t="shared" si="11"/>
        <v>16.2</v>
      </c>
      <c r="M21" s="173">
        <f t="shared" si="11"/>
        <v>16.8</v>
      </c>
      <c r="N21" s="173">
        <f t="shared" si="11"/>
        <v>17.4</v>
      </c>
      <c r="O21" s="173">
        <f t="shared" si="11"/>
        <v>18.6</v>
      </c>
      <c r="P21" s="173">
        <f t="shared" si="11"/>
        <v>19.8</v>
      </c>
      <c r="Q21" s="173">
        <f t="shared" si="11"/>
        <v>21</v>
      </c>
      <c r="R21" s="173">
        <f t="shared" si="11"/>
        <v>22.2</v>
      </c>
      <c r="S21" s="173">
        <f t="shared" si="11"/>
        <v>25.8</v>
      </c>
      <c r="T21" s="173">
        <f t="shared" si="11"/>
        <v>29.4</v>
      </c>
      <c r="U21" s="173">
        <f t="shared" si="11"/>
        <v>33</v>
      </c>
      <c r="V21" s="173">
        <f t="shared" si="11"/>
        <v>40.2</v>
      </c>
      <c r="W21" s="173">
        <f t="shared" si="11"/>
        <v>47.4</v>
      </c>
      <c r="X21" s="173">
        <f t="shared" si="11"/>
        <v>54.6</v>
      </c>
      <c r="Y21" s="173">
        <f t="shared" si="11"/>
        <v>61.8</v>
      </c>
      <c r="Z21" s="173">
        <f t="shared" si="11"/>
        <v>65.4</v>
      </c>
      <c r="AA21" s="173">
        <f t="shared" si="11"/>
        <v>69</v>
      </c>
      <c r="AB21" s="173">
        <f t="shared" si="11"/>
        <v>72.6</v>
      </c>
      <c r="AC21" s="173">
        <f t="shared" si="11"/>
        <v>76.2</v>
      </c>
      <c r="AD21" s="173">
        <f t="shared" si="11"/>
        <v>79.8</v>
      </c>
    </row>
    <row r="22" customFormat="1" ht="18.35" customHeight="1" spans="1:30">
      <c r="A22" s="100" t="s">
        <v>447</v>
      </c>
      <c r="B22" s="135" t="s">
        <v>453</v>
      </c>
      <c r="C22" s="53">
        <v>1</v>
      </c>
      <c r="D22" s="182">
        <f t="shared" si="0"/>
        <v>0.001</v>
      </c>
      <c r="E22" s="182">
        <f t="shared" si="1"/>
        <v>0.001</v>
      </c>
      <c r="F22" s="183">
        <f t="shared" si="5"/>
        <v>0.1</v>
      </c>
      <c r="G22" s="184">
        <f>F22*6</f>
        <v>0.6</v>
      </c>
      <c r="H22" s="185">
        <v>0.1</v>
      </c>
      <c r="I22" s="181">
        <v>100</v>
      </c>
      <c r="J22" s="173">
        <f t="shared" si="2"/>
        <v>0.1</v>
      </c>
      <c r="K22" s="173">
        <f t="shared" ref="K22:AD22" si="12">$J22*K$30</f>
        <v>0.104</v>
      </c>
      <c r="L22" s="173">
        <f t="shared" si="12"/>
        <v>0.108</v>
      </c>
      <c r="M22" s="173">
        <f t="shared" si="12"/>
        <v>0.112</v>
      </c>
      <c r="N22" s="173">
        <f t="shared" si="12"/>
        <v>0.116</v>
      </c>
      <c r="O22" s="173">
        <f t="shared" si="12"/>
        <v>0.124</v>
      </c>
      <c r="P22" s="173">
        <f t="shared" si="12"/>
        <v>0.132</v>
      </c>
      <c r="Q22" s="173">
        <f t="shared" si="12"/>
        <v>0.14</v>
      </c>
      <c r="R22" s="173">
        <f t="shared" si="12"/>
        <v>0.148</v>
      </c>
      <c r="S22" s="173">
        <f t="shared" si="12"/>
        <v>0.172</v>
      </c>
      <c r="T22" s="173">
        <f t="shared" si="12"/>
        <v>0.196</v>
      </c>
      <c r="U22" s="173">
        <f t="shared" si="12"/>
        <v>0.22</v>
      </c>
      <c r="V22" s="173">
        <f t="shared" si="12"/>
        <v>0.268</v>
      </c>
      <c r="W22" s="173">
        <f t="shared" si="12"/>
        <v>0.316</v>
      </c>
      <c r="X22" s="173">
        <f t="shared" si="12"/>
        <v>0.364</v>
      </c>
      <c r="Y22" s="173">
        <f t="shared" si="12"/>
        <v>0.412</v>
      </c>
      <c r="Z22" s="173">
        <f t="shared" si="12"/>
        <v>0.436</v>
      </c>
      <c r="AA22" s="173">
        <f t="shared" si="12"/>
        <v>0.46</v>
      </c>
      <c r="AB22" s="173">
        <f t="shared" si="12"/>
        <v>0.484</v>
      </c>
      <c r="AC22" s="173">
        <f t="shared" si="12"/>
        <v>0.508</v>
      </c>
      <c r="AD22" s="173">
        <f t="shared" si="12"/>
        <v>0.532</v>
      </c>
    </row>
    <row r="23" ht="18.35" customHeight="1" spans="1:30">
      <c r="A23" s="49" t="s">
        <v>387</v>
      </c>
      <c r="B23" s="49" t="s">
        <v>454</v>
      </c>
      <c r="C23" s="53">
        <v>1</v>
      </c>
      <c r="D23" s="173">
        <f t="shared" si="0"/>
        <v>1.2</v>
      </c>
      <c r="E23" s="173">
        <f t="shared" si="1"/>
        <v>1.2</v>
      </c>
      <c r="F23" s="54">
        <f t="shared" si="5"/>
        <v>120</v>
      </c>
      <c r="G23" s="176"/>
      <c r="H23" s="187">
        <v>120</v>
      </c>
      <c r="I23" s="181">
        <v>100</v>
      </c>
      <c r="J23" s="55">
        <f t="shared" si="2"/>
        <v>120</v>
      </c>
      <c r="K23" s="55">
        <f t="shared" ref="K23:AD23" si="13">$J23*K$30</f>
        <v>124.8</v>
      </c>
      <c r="L23" s="55">
        <f t="shared" si="13"/>
        <v>129.6</v>
      </c>
      <c r="M23" s="55">
        <f t="shared" si="13"/>
        <v>134.4</v>
      </c>
      <c r="N23" s="55">
        <f t="shared" si="13"/>
        <v>139.2</v>
      </c>
      <c r="O23" s="55">
        <f t="shared" si="13"/>
        <v>148.8</v>
      </c>
      <c r="P23" s="55">
        <f t="shared" si="13"/>
        <v>158.4</v>
      </c>
      <c r="Q23" s="55">
        <f t="shared" si="13"/>
        <v>168</v>
      </c>
      <c r="R23" s="55">
        <f t="shared" si="13"/>
        <v>177.6</v>
      </c>
      <c r="S23" s="55">
        <f t="shared" si="13"/>
        <v>206.4</v>
      </c>
      <c r="T23" s="55">
        <f t="shared" si="13"/>
        <v>235.2</v>
      </c>
      <c r="U23" s="55">
        <f t="shared" si="13"/>
        <v>264</v>
      </c>
      <c r="V23" s="55">
        <f t="shared" si="13"/>
        <v>321.6</v>
      </c>
      <c r="W23" s="55">
        <f t="shared" si="13"/>
        <v>379.2</v>
      </c>
      <c r="X23" s="55">
        <f t="shared" si="13"/>
        <v>436.8</v>
      </c>
      <c r="Y23" s="55">
        <f t="shared" si="13"/>
        <v>494.4</v>
      </c>
      <c r="Z23" s="55">
        <f t="shared" si="13"/>
        <v>523.2</v>
      </c>
      <c r="AA23" s="55">
        <f t="shared" si="13"/>
        <v>552</v>
      </c>
      <c r="AB23" s="55">
        <f t="shared" si="13"/>
        <v>580.8</v>
      </c>
      <c r="AC23" s="55">
        <f t="shared" si="13"/>
        <v>609.6</v>
      </c>
      <c r="AD23" s="55">
        <f t="shared" si="13"/>
        <v>638.4</v>
      </c>
    </row>
    <row r="24" ht="18.35" customHeight="1" spans="1:30">
      <c r="A24" s="49" t="s">
        <v>387</v>
      </c>
      <c r="B24" s="49" t="s">
        <v>455</v>
      </c>
      <c r="C24" s="53">
        <v>1</v>
      </c>
      <c r="D24" s="182">
        <f t="shared" si="0"/>
        <v>0.0012</v>
      </c>
      <c r="E24" s="182">
        <f t="shared" si="1"/>
        <v>0.0012</v>
      </c>
      <c r="F24" s="183">
        <f t="shared" si="5"/>
        <v>0.12</v>
      </c>
      <c r="G24" s="176"/>
      <c r="H24" s="185">
        <v>0.12</v>
      </c>
      <c r="I24" s="181">
        <v>100</v>
      </c>
      <c r="J24" s="60">
        <f t="shared" si="2"/>
        <v>0.12</v>
      </c>
      <c r="K24" s="60">
        <f t="shared" ref="K24:AD24" si="14">$J24*K$30</f>
        <v>0.1248</v>
      </c>
      <c r="L24" s="60">
        <f t="shared" si="14"/>
        <v>0.1296</v>
      </c>
      <c r="M24" s="60">
        <f t="shared" si="14"/>
        <v>0.1344</v>
      </c>
      <c r="N24" s="60">
        <f t="shared" si="14"/>
        <v>0.1392</v>
      </c>
      <c r="O24" s="60">
        <f t="shared" si="14"/>
        <v>0.1488</v>
      </c>
      <c r="P24" s="60">
        <f t="shared" si="14"/>
        <v>0.1584</v>
      </c>
      <c r="Q24" s="60">
        <f t="shared" si="14"/>
        <v>0.168</v>
      </c>
      <c r="R24" s="60">
        <f t="shared" si="14"/>
        <v>0.1776</v>
      </c>
      <c r="S24" s="60">
        <f t="shared" si="14"/>
        <v>0.2064</v>
      </c>
      <c r="T24" s="60">
        <f t="shared" si="14"/>
        <v>0.2352</v>
      </c>
      <c r="U24" s="60">
        <f t="shared" si="14"/>
        <v>0.264</v>
      </c>
      <c r="V24" s="60">
        <f t="shared" si="14"/>
        <v>0.3216</v>
      </c>
      <c r="W24" s="60">
        <f t="shared" si="14"/>
        <v>0.3792</v>
      </c>
      <c r="X24" s="60">
        <f t="shared" si="14"/>
        <v>0.4368</v>
      </c>
      <c r="Y24" s="60">
        <f t="shared" si="14"/>
        <v>0.4944</v>
      </c>
      <c r="Z24" s="60">
        <f t="shared" si="14"/>
        <v>0.5232</v>
      </c>
      <c r="AA24" s="60">
        <f t="shared" si="14"/>
        <v>0.552</v>
      </c>
      <c r="AB24" s="60">
        <f t="shared" si="14"/>
        <v>0.5808</v>
      </c>
      <c r="AC24" s="60">
        <f t="shared" si="14"/>
        <v>0.6096</v>
      </c>
      <c r="AD24" s="60">
        <f t="shared" si="14"/>
        <v>0.6384</v>
      </c>
    </row>
    <row r="25" ht="18.35" customHeight="1" spans="1:30">
      <c r="A25" s="49" t="s">
        <v>387</v>
      </c>
      <c r="B25" s="49" t="s">
        <v>456</v>
      </c>
      <c r="C25" s="53">
        <v>1</v>
      </c>
      <c r="D25" s="182">
        <f t="shared" si="0"/>
        <v>0.0012</v>
      </c>
      <c r="E25" s="182">
        <f t="shared" si="1"/>
        <v>0.0012</v>
      </c>
      <c r="F25" s="183">
        <f t="shared" si="5"/>
        <v>0.12</v>
      </c>
      <c r="G25" s="176"/>
      <c r="H25" s="185">
        <v>0.12</v>
      </c>
      <c r="I25" s="181">
        <v>100</v>
      </c>
      <c r="J25" s="60">
        <f t="shared" si="2"/>
        <v>0.12</v>
      </c>
      <c r="K25" s="60">
        <f t="shared" ref="K25:AD25" si="15">$J25*K$30</f>
        <v>0.1248</v>
      </c>
      <c r="L25" s="60">
        <f t="shared" si="15"/>
        <v>0.1296</v>
      </c>
      <c r="M25" s="60">
        <f t="shared" si="15"/>
        <v>0.1344</v>
      </c>
      <c r="N25" s="60">
        <f t="shared" si="15"/>
        <v>0.1392</v>
      </c>
      <c r="O25" s="60">
        <f t="shared" si="15"/>
        <v>0.1488</v>
      </c>
      <c r="P25" s="60">
        <f t="shared" si="15"/>
        <v>0.1584</v>
      </c>
      <c r="Q25" s="60">
        <f t="shared" si="15"/>
        <v>0.168</v>
      </c>
      <c r="R25" s="60">
        <f t="shared" si="15"/>
        <v>0.1776</v>
      </c>
      <c r="S25" s="60">
        <f t="shared" si="15"/>
        <v>0.2064</v>
      </c>
      <c r="T25" s="60">
        <f t="shared" si="15"/>
        <v>0.2352</v>
      </c>
      <c r="U25" s="60">
        <f t="shared" si="15"/>
        <v>0.264</v>
      </c>
      <c r="V25" s="60">
        <f t="shared" si="15"/>
        <v>0.3216</v>
      </c>
      <c r="W25" s="60">
        <f t="shared" si="15"/>
        <v>0.3792</v>
      </c>
      <c r="X25" s="60">
        <f t="shared" si="15"/>
        <v>0.4368</v>
      </c>
      <c r="Y25" s="60">
        <f t="shared" si="15"/>
        <v>0.4944</v>
      </c>
      <c r="Z25" s="60">
        <f t="shared" si="15"/>
        <v>0.5232</v>
      </c>
      <c r="AA25" s="60">
        <f t="shared" si="15"/>
        <v>0.552</v>
      </c>
      <c r="AB25" s="60">
        <f t="shared" si="15"/>
        <v>0.5808</v>
      </c>
      <c r="AC25" s="60">
        <f t="shared" si="15"/>
        <v>0.6096</v>
      </c>
      <c r="AD25" s="60">
        <f t="shared" si="15"/>
        <v>0.6384</v>
      </c>
    </row>
    <row r="26" ht="18.35" customHeight="1" spans="1:30">
      <c r="A26" s="49" t="s">
        <v>387</v>
      </c>
      <c r="B26" s="49" t="s">
        <v>457</v>
      </c>
      <c r="C26" s="53">
        <v>1</v>
      </c>
      <c r="D26" s="182">
        <f t="shared" si="0"/>
        <v>0.0012</v>
      </c>
      <c r="E26" s="182">
        <f t="shared" si="1"/>
        <v>0.0012</v>
      </c>
      <c r="F26" s="183">
        <f t="shared" si="5"/>
        <v>0.12</v>
      </c>
      <c r="G26" s="176"/>
      <c r="H26" s="185">
        <v>0.12</v>
      </c>
      <c r="I26" s="181">
        <v>100</v>
      </c>
      <c r="J26" s="60">
        <f t="shared" si="2"/>
        <v>0.12</v>
      </c>
      <c r="K26" s="60">
        <f t="shared" ref="K26:AD26" si="16">$J26*K$30</f>
        <v>0.1248</v>
      </c>
      <c r="L26" s="60">
        <f t="shared" si="16"/>
        <v>0.1296</v>
      </c>
      <c r="M26" s="60">
        <f t="shared" si="16"/>
        <v>0.1344</v>
      </c>
      <c r="N26" s="60">
        <f t="shared" si="16"/>
        <v>0.1392</v>
      </c>
      <c r="O26" s="60">
        <f t="shared" si="16"/>
        <v>0.1488</v>
      </c>
      <c r="P26" s="60">
        <f t="shared" si="16"/>
        <v>0.1584</v>
      </c>
      <c r="Q26" s="60">
        <f t="shared" si="16"/>
        <v>0.168</v>
      </c>
      <c r="R26" s="60">
        <f t="shared" si="16"/>
        <v>0.1776</v>
      </c>
      <c r="S26" s="60">
        <f t="shared" si="16"/>
        <v>0.2064</v>
      </c>
      <c r="T26" s="60">
        <f t="shared" si="16"/>
        <v>0.2352</v>
      </c>
      <c r="U26" s="60">
        <f t="shared" si="16"/>
        <v>0.264</v>
      </c>
      <c r="V26" s="60">
        <f t="shared" si="16"/>
        <v>0.3216</v>
      </c>
      <c r="W26" s="60">
        <f t="shared" si="16"/>
        <v>0.3792</v>
      </c>
      <c r="X26" s="60">
        <f t="shared" si="16"/>
        <v>0.4368</v>
      </c>
      <c r="Y26" s="60">
        <f t="shared" si="16"/>
        <v>0.4944</v>
      </c>
      <c r="Z26" s="60">
        <f t="shared" si="16"/>
        <v>0.5232</v>
      </c>
      <c r="AA26" s="60">
        <f t="shared" si="16"/>
        <v>0.552</v>
      </c>
      <c r="AB26" s="60">
        <f t="shared" si="16"/>
        <v>0.5808</v>
      </c>
      <c r="AC26" s="60">
        <f t="shared" si="16"/>
        <v>0.6096</v>
      </c>
      <c r="AD26" s="60">
        <f t="shared" si="16"/>
        <v>0.6384</v>
      </c>
    </row>
    <row r="27" ht="18.35" customHeight="1" spans="1:30">
      <c r="A27" s="49" t="s">
        <v>387</v>
      </c>
      <c r="B27" s="49" t="s">
        <v>347</v>
      </c>
      <c r="C27" s="53">
        <v>1</v>
      </c>
      <c r="D27" s="182">
        <f t="shared" si="0"/>
        <v>0.0012</v>
      </c>
      <c r="E27" s="182">
        <f t="shared" si="1"/>
        <v>0.0012</v>
      </c>
      <c r="F27" s="183">
        <f t="shared" si="5"/>
        <v>0.12</v>
      </c>
      <c r="G27" s="176"/>
      <c r="H27" s="185">
        <v>0.12</v>
      </c>
      <c r="I27" s="181">
        <v>100</v>
      </c>
      <c r="J27" s="60">
        <f t="shared" si="2"/>
        <v>0.12</v>
      </c>
      <c r="K27" s="60">
        <f t="shared" ref="K27:AD27" si="17">$J27*K$30</f>
        <v>0.1248</v>
      </c>
      <c r="L27" s="60">
        <f t="shared" si="17"/>
        <v>0.1296</v>
      </c>
      <c r="M27" s="60">
        <f t="shared" si="17"/>
        <v>0.1344</v>
      </c>
      <c r="N27" s="60">
        <f t="shared" si="17"/>
        <v>0.1392</v>
      </c>
      <c r="O27" s="60">
        <f t="shared" si="17"/>
        <v>0.1488</v>
      </c>
      <c r="P27" s="60">
        <f t="shared" si="17"/>
        <v>0.1584</v>
      </c>
      <c r="Q27" s="60">
        <f t="shared" si="17"/>
        <v>0.168</v>
      </c>
      <c r="R27" s="60">
        <f t="shared" si="17"/>
        <v>0.1776</v>
      </c>
      <c r="S27" s="60">
        <f t="shared" si="17"/>
        <v>0.2064</v>
      </c>
      <c r="T27" s="60">
        <f t="shared" si="17"/>
        <v>0.2352</v>
      </c>
      <c r="U27" s="60">
        <f t="shared" si="17"/>
        <v>0.264</v>
      </c>
      <c r="V27" s="60">
        <f t="shared" si="17"/>
        <v>0.3216</v>
      </c>
      <c r="W27" s="60">
        <f t="shared" si="17"/>
        <v>0.3792</v>
      </c>
      <c r="X27" s="60">
        <f t="shared" si="17"/>
        <v>0.4368</v>
      </c>
      <c r="Y27" s="60">
        <f t="shared" si="17"/>
        <v>0.4944</v>
      </c>
      <c r="Z27" s="60">
        <f t="shared" si="17"/>
        <v>0.5232</v>
      </c>
      <c r="AA27" s="60">
        <f t="shared" si="17"/>
        <v>0.552</v>
      </c>
      <c r="AB27" s="60">
        <f t="shared" si="17"/>
        <v>0.5808</v>
      </c>
      <c r="AC27" s="60">
        <f t="shared" si="17"/>
        <v>0.6096</v>
      </c>
      <c r="AD27" s="60">
        <f t="shared" si="17"/>
        <v>0.6384</v>
      </c>
    </row>
    <row r="28" ht="18.35" customHeight="1" spans="1:30">
      <c r="A28" s="188" t="s">
        <v>387</v>
      </c>
      <c r="B28" s="188" t="s">
        <v>346</v>
      </c>
      <c r="C28" s="53">
        <v>1</v>
      </c>
      <c r="D28" s="182">
        <f t="shared" si="0"/>
        <v>0.0012</v>
      </c>
      <c r="E28" s="182">
        <f t="shared" si="1"/>
        <v>0.0012</v>
      </c>
      <c r="F28" s="183">
        <f t="shared" si="5"/>
        <v>0.12</v>
      </c>
      <c r="G28" s="189"/>
      <c r="H28" s="185">
        <v>0.12</v>
      </c>
      <c r="I28" s="190">
        <v>100</v>
      </c>
      <c r="J28" s="191">
        <f t="shared" si="2"/>
        <v>0.12</v>
      </c>
      <c r="K28" s="60">
        <f t="shared" ref="K28:AD28" si="18">$J28*K$30</f>
        <v>0.1248</v>
      </c>
      <c r="L28" s="60">
        <f t="shared" si="18"/>
        <v>0.1296</v>
      </c>
      <c r="M28" s="60">
        <f t="shared" si="18"/>
        <v>0.1344</v>
      </c>
      <c r="N28" s="60">
        <f t="shared" si="18"/>
        <v>0.1392</v>
      </c>
      <c r="O28" s="60">
        <f t="shared" si="18"/>
        <v>0.1488</v>
      </c>
      <c r="P28" s="60">
        <f t="shared" si="18"/>
        <v>0.1584</v>
      </c>
      <c r="Q28" s="60">
        <f t="shared" si="18"/>
        <v>0.168</v>
      </c>
      <c r="R28" s="60">
        <f t="shared" si="18"/>
        <v>0.1776</v>
      </c>
      <c r="S28" s="60">
        <f t="shared" si="18"/>
        <v>0.2064</v>
      </c>
      <c r="T28" s="60">
        <f t="shared" si="18"/>
        <v>0.2352</v>
      </c>
      <c r="U28" s="60">
        <f t="shared" si="18"/>
        <v>0.264</v>
      </c>
      <c r="V28" s="60">
        <f t="shared" si="18"/>
        <v>0.3216</v>
      </c>
      <c r="W28" s="60">
        <f t="shared" si="18"/>
        <v>0.3792</v>
      </c>
      <c r="X28" s="60">
        <f t="shared" si="18"/>
        <v>0.4368</v>
      </c>
      <c r="Y28" s="60">
        <f t="shared" si="18"/>
        <v>0.4944</v>
      </c>
      <c r="Z28" s="60">
        <f t="shared" si="18"/>
        <v>0.5232</v>
      </c>
      <c r="AA28" s="60">
        <f t="shared" si="18"/>
        <v>0.552</v>
      </c>
      <c r="AB28" s="60">
        <f t="shared" si="18"/>
        <v>0.5808</v>
      </c>
      <c r="AC28" s="60">
        <f t="shared" si="18"/>
        <v>0.6096</v>
      </c>
      <c r="AD28" s="60">
        <f t="shared" si="18"/>
        <v>0.6384</v>
      </c>
    </row>
    <row r="29" customFormat="1" ht="18.35" customHeight="1" spans="1:30">
      <c r="A29" s="192" t="s">
        <v>458</v>
      </c>
      <c r="B29" s="193" t="s">
        <v>345</v>
      </c>
      <c r="C29" s="53">
        <v>1</v>
      </c>
      <c r="D29" s="174" t="e">
        <f t="shared" si="0"/>
        <v>#DIV/0!</v>
      </c>
      <c r="E29" s="174" t="e">
        <f t="shared" si="1"/>
        <v>#DIV/0!</v>
      </c>
      <c r="F29" s="179" t="e">
        <f t="shared" si="5"/>
        <v>#DIV/0!</v>
      </c>
      <c r="G29" s="176"/>
      <c r="H29" s="186" t="e">
        <f>J44</f>
        <v>#DIV/0!</v>
      </c>
      <c r="I29" s="181">
        <v>100</v>
      </c>
      <c r="J29" s="173" t="e">
        <f t="shared" si="2"/>
        <v>#DIV/0!</v>
      </c>
      <c r="K29" s="173" t="e">
        <f t="shared" ref="K29:AD29" si="19">$J29*K$30</f>
        <v>#DIV/0!</v>
      </c>
      <c r="L29" s="173" t="e">
        <f t="shared" si="19"/>
        <v>#DIV/0!</v>
      </c>
      <c r="M29" s="173" t="e">
        <f t="shared" si="19"/>
        <v>#DIV/0!</v>
      </c>
      <c r="N29" s="173" t="e">
        <f t="shared" si="19"/>
        <v>#DIV/0!</v>
      </c>
      <c r="O29" s="173" t="e">
        <f t="shared" si="19"/>
        <v>#DIV/0!</v>
      </c>
      <c r="P29" s="173" t="e">
        <f t="shared" si="19"/>
        <v>#DIV/0!</v>
      </c>
      <c r="Q29" s="173" t="e">
        <f t="shared" si="19"/>
        <v>#DIV/0!</v>
      </c>
      <c r="R29" s="173" t="e">
        <f t="shared" si="19"/>
        <v>#DIV/0!</v>
      </c>
      <c r="S29" s="173" t="e">
        <f t="shared" si="19"/>
        <v>#DIV/0!</v>
      </c>
      <c r="T29" s="173" t="e">
        <f t="shared" si="19"/>
        <v>#DIV/0!</v>
      </c>
      <c r="U29" s="173" t="e">
        <f t="shared" si="19"/>
        <v>#DIV/0!</v>
      </c>
      <c r="V29" s="173" t="e">
        <f t="shared" si="19"/>
        <v>#DIV/0!</v>
      </c>
      <c r="W29" s="173" t="e">
        <f t="shared" si="19"/>
        <v>#DIV/0!</v>
      </c>
      <c r="X29" s="173" t="e">
        <f t="shared" si="19"/>
        <v>#DIV/0!</v>
      </c>
      <c r="Y29" s="173" t="e">
        <f t="shared" si="19"/>
        <v>#DIV/0!</v>
      </c>
      <c r="Z29" s="173" t="e">
        <f t="shared" si="19"/>
        <v>#DIV/0!</v>
      </c>
      <c r="AA29" s="173" t="e">
        <f t="shared" si="19"/>
        <v>#DIV/0!</v>
      </c>
      <c r="AB29" s="173" t="e">
        <f t="shared" si="19"/>
        <v>#DIV/0!</v>
      </c>
      <c r="AC29" s="173" t="e">
        <f t="shared" si="19"/>
        <v>#DIV/0!</v>
      </c>
      <c r="AD29" s="173" t="e">
        <f t="shared" si="19"/>
        <v>#DIV/0!</v>
      </c>
    </row>
    <row r="30" ht="14.25" spans="1:30">
      <c r="A30" s="194"/>
      <c r="B30" s="195"/>
      <c r="C30" s="195"/>
      <c r="D30" s="195"/>
      <c r="E30" s="195"/>
      <c r="F30" s="195"/>
      <c r="G30" s="195"/>
      <c r="H30" s="195"/>
      <c r="I30" s="195"/>
      <c r="J30" s="196"/>
      <c r="K30" s="197">
        <v>1.04</v>
      </c>
      <c r="L30" s="198">
        <v>1.08</v>
      </c>
      <c r="M30" s="198">
        <v>1.12</v>
      </c>
      <c r="N30" s="198">
        <v>1.16</v>
      </c>
      <c r="O30" s="198">
        <v>1.24</v>
      </c>
      <c r="P30" s="198">
        <v>1.32</v>
      </c>
      <c r="Q30" s="198">
        <v>1.4</v>
      </c>
      <c r="R30" s="198">
        <v>1.48</v>
      </c>
      <c r="S30" s="198">
        <v>1.72</v>
      </c>
      <c r="T30" s="198">
        <v>1.96</v>
      </c>
      <c r="U30" s="198">
        <v>2.2</v>
      </c>
      <c r="V30" s="198">
        <v>2.68</v>
      </c>
      <c r="W30" s="198">
        <v>3.16</v>
      </c>
      <c r="X30" s="198">
        <v>3.64</v>
      </c>
      <c r="Y30" s="198">
        <v>4.12</v>
      </c>
      <c r="Z30" s="198">
        <v>4.36</v>
      </c>
      <c r="AA30" s="198">
        <v>4.6</v>
      </c>
      <c r="AB30" s="198">
        <v>4.84</v>
      </c>
      <c r="AC30" s="198">
        <v>5.08</v>
      </c>
      <c r="AD30" s="198">
        <v>5.32</v>
      </c>
    </row>
    <row r="31" spans="1:30">
      <c r="A31" s="199"/>
      <c r="B31" s="200"/>
      <c r="C31" s="200"/>
      <c r="D31" s="200"/>
      <c r="E31" s="200"/>
      <c r="F31" s="200"/>
      <c r="G31" s="200"/>
      <c r="H31" s="200"/>
      <c r="I31" s="200"/>
      <c r="J31" s="201"/>
      <c r="K31" s="197">
        <f t="shared" ref="K31:AD31" si="20">K30-1</f>
        <v>0.04</v>
      </c>
      <c r="L31" s="41">
        <f t="shared" si="20"/>
        <v>0.0800000000000001</v>
      </c>
      <c r="M31" s="41">
        <f t="shared" si="20"/>
        <v>0.12</v>
      </c>
      <c r="N31" s="41">
        <f t="shared" si="20"/>
        <v>0.16</v>
      </c>
      <c r="O31" s="41">
        <f t="shared" si="20"/>
        <v>0.24</v>
      </c>
      <c r="P31" s="41">
        <f t="shared" si="20"/>
        <v>0.32</v>
      </c>
      <c r="Q31" s="41">
        <f t="shared" si="20"/>
        <v>0.4</v>
      </c>
      <c r="R31" s="41">
        <f t="shared" si="20"/>
        <v>0.48</v>
      </c>
      <c r="S31" s="41">
        <f t="shared" si="20"/>
        <v>0.72</v>
      </c>
      <c r="T31" s="41">
        <f t="shared" si="20"/>
        <v>0.96</v>
      </c>
      <c r="U31" s="41">
        <f t="shared" si="20"/>
        <v>1.2</v>
      </c>
      <c r="V31" s="41">
        <f t="shared" si="20"/>
        <v>1.68</v>
      </c>
      <c r="W31" s="41">
        <f t="shared" si="20"/>
        <v>2.16</v>
      </c>
      <c r="X31" s="41">
        <f t="shared" si="20"/>
        <v>2.64</v>
      </c>
      <c r="Y31" s="41">
        <f t="shared" si="20"/>
        <v>3.12</v>
      </c>
      <c r="Z31" s="41">
        <f t="shared" si="20"/>
        <v>3.36</v>
      </c>
      <c r="AA31" s="41">
        <f t="shared" si="20"/>
        <v>3.6</v>
      </c>
      <c r="AB31" s="41">
        <f t="shared" si="20"/>
        <v>3.84</v>
      </c>
      <c r="AC31" s="41">
        <f t="shared" si="20"/>
        <v>4.08</v>
      </c>
      <c r="AD31" s="41">
        <f t="shared" si="20"/>
        <v>4.32</v>
      </c>
    </row>
    <row r="32" ht="14.25" spans="1:30">
      <c r="A32" s="202"/>
      <c r="B32" s="203"/>
      <c r="C32" s="203"/>
      <c r="D32" s="203"/>
      <c r="E32" s="203"/>
      <c r="F32" s="203"/>
      <c r="G32" s="203"/>
      <c r="H32" s="203"/>
      <c r="I32" s="203"/>
      <c r="J32" s="204"/>
      <c r="K32" s="205">
        <v>1.12</v>
      </c>
      <c r="L32" s="41">
        <f t="shared" ref="L32:AD32" si="21">L30-K30</f>
        <v>0.04</v>
      </c>
      <c r="M32" s="41">
        <f t="shared" si="21"/>
        <v>0.04</v>
      </c>
      <c r="N32" s="41">
        <f t="shared" si="21"/>
        <v>0.0399999999999998</v>
      </c>
      <c r="O32" s="41">
        <f t="shared" si="21"/>
        <v>0.0800000000000001</v>
      </c>
      <c r="P32" s="41">
        <f t="shared" si="21"/>
        <v>0.0800000000000001</v>
      </c>
      <c r="Q32" s="41">
        <f t="shared" si="21"/>
        <v>0.0799999999999998</v>
      </c>
      <c r="R32" s="41">
        <f t="shared" si="21"/>
        <v>0.0800000000000001</v>
      </c>
      <c r="S32" s="41">
        <f t="shared" si="21"/>
        <v>0.24</v>
      </c>
      <c r="T32" s="41">
        <f t="shared" si="21"/>
        <v>0.24</v>
      </c>
      <c r="U32" s="41">
        <f t="shared" si="21"/>
        <v>0.24</v>
      </c>
      <c r="V32" s="41">
        <f t="shared" si="21"/>
        <v>0.48</v>
      </c>
      <c r="W32" s="41">
        <f t="shared" si="21"/>
        <v>0.48</v>
      </c>
      <c r="X32" s="41">
        <f t="shared" si="21"/>
        <v>0.48</v>
      </c>
      <c r="Y32" s="41">
        <f t="shared" si="21"/>
        <v>0.48</v>
      </c>
      <c r="Z32" s="41">
        <f t="shared" si="21"/>
        <v>0.24</v>
      </c>
      <c r="AA32" s="41">
        <f t="shared" si="21"/>
        <v>0.239999999999999</v>
      </c>
      <c r="AB32" s="41">
        <f t="shared" si="21"/>
        <v>0.24</v>
      </c>
      <c r="AC32" s="41">
        <f t="shared" si="21"/>
        <v>0.24</v>
      </c>
      <c r="AD32" s="41">
        <f t="shared" si="21"/>
        <v>0.24</v>
      </c>
    </row>
    <row r="33" ht="14.25" spans="1:30">
      <c r="A33" s="206"/>
      <c r="B33" s="200"/>
      <c r="C33" s="200"/>
      <c r="D33" s="200"/>
      <c r="E33" s="200"/>
      <c r="F33" s="200"/>
      <c r="G33" s="200"/>
      <c r="H33" s="200"/>
      <c r="I33" s="200"/>
      <c r="J33" s="200"/>
      <c r="K33" s="198">
        <v>0.04</v>
      </c>
      <c r="L33" s="198">
        <v>0.08</v>
      </c>
      <c r="M33" s="198">
        <v>0.12</v>
      </c>
      <c r="N33" s="198">
        <v>0.16</v>
      </c>
      <c r="O33" s="198">
        <v>0.24</v>
      </c>
      <c r="P33" s="198">
        <v>0.32</v>
      </c>
      <c r="Q33" s="198">
        <v>0.4</v>
      </c>
      <c r="R33" s="198">
        <v>0.48</v>
      </c>
      <c r="S33" s="198">
        <v>0.72</v>
      </c>
      <c r="T33" s="198">
        <v>0.96</v>
      </c>
      <c r="U33" s="198">
        <v>1.2</v>
      </c>
      <c r="V33" s="198">
        <v>1.68</v>
      </c>
      <c r="W33" s="198">
        <v>2.16</v>
      </c>
      <c r="X33" s="198">
        <v>2.64</v>
      </c>
      <c r="Y33" s="198">
        <v>3.12</v>
      </c>
      <c r="Z33" s="198">
        <v>3.36</v>
      </c>
      <c r="AA33" s="198">
        <v>3.6</v>
      </c>
      <c r="AB33" s="198">
        <v>3.84</v>
      </c>
      <c r="AC33" s="198">
        <v>4.08</v>
      </c>
      <c r="AD33" s="198">
        <v>4.32</v>
      </c>
    </row>
    <row r="34" ht="45" customHeight="1" spans="1:30">
      <c r="A34" s="207"/>
      <c r="B34" s="207"/>
      <c r="C34" s="207"/>
      <c r="D34" s="207"/>
      <c r="E34" s="207"/>
      <c r="F34" s="207"/>
      <c r="G34" s="207"/>
      <c r="H34" s="207"/>
      <c r="I34" s="207"/>
      <c r="J34" s="207"/>
      <c r="L34" s="41">
        <f>K34^$K36+0.01</f>
        <v>0.01</v>
      </c>
    </row>
    <row r="35" ht="38.35" customHeight="1" spans="1:30">
      <c r="A35" s="208"/>
      <c r="B35" s="119" t="s">
        <v>418</v>
      </c>
      <c r="C35" s="119" t="s">
        <v>459</v>
      </c>
      <c r="D35" s="209">
        <v>0.5</v>
      </c>
      <c r="E35" s="65" t="s">
        <v>460</v>
      </c>
      <c r="F35" s="119" t="s">
        <v>461</v>
      </c>
      <c r="G35" s="119" t="s">
        <v>462</v>
      </c>
      <c r="H35" s="119" t="s">
        <v>463</v>
      </c>
      <c r="I35" s="119" t="s">
        <v>464</v>
      </c>
      <c r="J35" s="118" t="s">
        <v>424</v>
      </c>
      <c r="K35" s="65" t="s">
        <v>465</v>
      </c>
      <c r="L35" s="210" t="s">
        <v>466</v>
      </c>
      <c r="N35" s="1"/>
      <c r="O35" s="1"/>
      <c r="P35" s="1">
        <v>9</v>
      </c>
      <c r="Q35" s="1"/>
      <c r="R35" s="1"/>
      <c r="S35" s="156"/>
      <c r="T35" s="1"/>
      <c r="U35" s="156"/>
      <c r="AC35" s="1"/>
    </row>
    <row r="36" ht="15" customHeight="1" spans="1:30">
      <c r="A36" s="192" t="s">
        <v>458</v>
      </c>
      <c r="B36" s="193" t="s">
        <v>385</v>
      </c>
      <c r="C36" s="211">
        <v>20000</v>
      </c>
      <c r="D36" s="212">
        <f t="shared" ref="D36:D39" si="22">C36*$D$35</f>
        <v>10000</v>
      </c>
      <c r="E36" s="213">
        <f>(D36-H36)/K36</f>
        <v>2000</v>
      </c>
      <c r="F36" s="213"/>
      <c r="G36" s="214"/>
      <c r="H36" s="36"/>
      <c r="I36" s="214">
        <f t="shared" ref="I36:I68" si="23">G36/$AD$30</f>
        <v>0</v>
      </c>
      <c r="J36" s="215">
        <f t="shared" ref="J36:J68" si="24">I36/$C$14</f>
        <v>0</v>
      </c>
      <c r="K36" s="216">
        <f>COUNTIF(无双吕布!$C$3:$K$11,无双吕布!$L36)</f>
        <v>5</v>
      </c>
      <c r="L36" s="217" t="s">
        <v>385</v>
      </c>
      <c r="M36">
        <v>1</v>
      </c>
      <c r="P36">
        <v>4</v>
      </c>
    </row>
    <row r="37" ht="15" customHeight="1" spans="1:30">
      <c r="A37" s="192" t="s">
        <v>458</v>
      </c>
      <c r="B37" s="193" t="s">
        <v>401</v>
      </c>
      <c r="C37" s="211">
        <v>16000</v>
      </c>
      <c r="D37" s="212">
        <f t="shared" si="22"/>
        <v>8000</v>
      </c>
      <c r="E37" s="213">
        <f>(D37-H37)/K37</f>
        <v>2666.66666666667</v>
      </c>
      <c r="F37" s="213"/>
      <c r="G37" s="214"/>
      <c r="H37" s="36"/>
      <c r="I37" s="214">
        <f t="shared" si="23"/>
        <v>0</v>
      </c>
      <c r="J37" s="215">
        <f t="shared" si="24"/>
        <v>0</v>
      </c>
      <c r="K37" s="216">
        <f>COUNTIF(无双吕布!$C$3:$K$11,无双吕布!$L37)</f>
        <v>3</v>
      </c>
      <c r="L37" s="218" t="s">
        <v>401</v>
      </c>
      <c r="M37">
        <v>1</v>
      </c>
    </row>
    <row r="38" ht="15" customHeight="1" spans="1:30">
      <c r="A38" s="192" t="s">
        <v>458</v>
      </c>
      <c r="B38" s="193" t="s">
        <v>408</v>
      </c>
      <c r="C38" s="211">
        <v>4000</v>
      </c>
      <c r="D38" s="212">
        <f t="shared" si="22"/>
        <v>2000</v>
      </c>
      <c r="E38" s="213">
        <f t="shared" ref="E38:E43" si="25">D38/K38</f>
        <v>400</v>
      </c>
      <c r="F38" s="213"/>
      <c r="G38" s="214"/>
      <c r="H38" s="214"/>
      <c r="I38" s="214">
        <f t="shared" si="23"/>
        <v>0</v>
      </c>
      <c r="J38" s="215">
        <f t="shared" si="24"/>
        <v>0</v>
      </c>
      <c r="K38" s="216">
        <f>COUNTIF(无双吕布!$C$3:$K$11,无双吕布!$L38)</f>
        <v>5</v>
      </c>
      <c r="L38" s="218" t="s">
        <v>408</v>
      </c>
      <c r="M38">
        <v>1</v>
      </c>
    </row>
    <row r="39" ht="15" customHeight="1" spans="1:30">
      <c r="A39" s="192" t="s">
        <v>458</v>
      </c>
      <c r="B39" s="193" t="s">
        <v>407</v>
      </c>
      <c r="C39" s="211">
        <v>4000</v>
      </c>
      <c r="D39" s="212">
        <f t="shared" si="22"/>
        <v>2000</v>
      </c>
      <c r="E39" s="213">
        <f t="shared" si="25"/>
        <v>666.666666666667</v>
      </c>
      <c r="F39" s="213"/>
      <c r="G39" s="214"/>
      <c r="H39" s="214"/>
      <c r="I39" s="214">
        <f t="shared" si="23"/>
        <v>0</v>
      </c>
      <c r="J39" s="215">
        <f t="shared" si="24"/>
        <v>0</v>
      </c>
      <c r="K39" s="216">
        <f>COUNTIF(无双吕布!$C$3:$K$11,无双吕布!$L39)</f>
        <v>3</v>
      </c>
      <c r="L39" s="218" t="s">
        <v>407</v>
      </c>
      <c r="M39">
        <v>1</v>
      </c>
    </row>
    <row r="40" ht="15" customHeight="1" spans="1:30">
      <c r="A40" s="192" t="s">
        <v>458</v>
      </c>
      <c r="B40" s="193" t="s">
        <v>467</v>
      </c>
      <c r="C40" s="211">
        <v>30</v>
      </c>
      <c r="D40" s="212">
        <v>150</v>
      </c>
      <c r="E40" s="214" t="e">
        <f t="shared" si="25"/>
        <v>#DIV/0!</v>
      </c>
      <c r="F40" s="214"/>
      <c r="G40" s="214"/>
      <c r="H40" s="214"/>
      <c r="I40" s="214">
        <f t="shared" si="23"/>
        <v>0</v>
      </c>
      <c r="J40" s="215">
        <f t="shared" si="24"/>
        <v>0</v>
      </c>
      <c r="K40" s="216">
        <f>COUNTIF(无双吕布!$C$3:$K$11,无双吕布!$L40)</f>
        <v>0</v>
      </c>
      <c r="L40" s="218" t="s">
        <v>467</v>
      </c>
    </row>
    <row r="41" ht="15" customHeight="1" spans="1:30">
      <c r="A41" s="192" t="s">
        <v>458</v>
      </c>
      <c r="B41" s="193" t="s">
        <v>468</v>
      </c>
      <c r="C41" s="211">
        <v>30</v>
      </c>
      <c r="D41" s="212">
        <v>150</v>
      </c>
      <c r="E41" s="214" t="e">
        <f t="shared" si="25"/>
        <v>#DIV/0!</v>
      </c>
      <c r="F41" s="214"/>
      <c r="G41" s="214"/>
      <c r="H41" s="214"/>
      <c r="I41" s="214">
        <f t="shared" si="23"/>
        <v>0</v>
      </c>
      <c r="J41" s="215">
        <f t="shared" si="24"/>
        <v>0</v>
      </c>
      <c r="K41" s="216">
        <f>COUNTIF(无双吕布!$C$3:$K$11,无双吕布!$L41)</f>
        <v>0</v>
      </c>
      <c r="L41" s="218" t="s">
        <v>468</v>
      </c>
      <c r="P41" s="1" t="s">
        <v>469</v>
      </c>
    </row>
    <row r="42" ht="15" customHeight="1" spans="1:30">
      <c r="A42" s="192" t="s">
        <v>458</v>
      </c>
      <c r="B42" s="193" t="s">
        <v>470</v>
      </c>
      <c r="C42" s="211">
        <v>30</v>
      </c>
      <c r="D42" s="212">
        <v>150</v>
      </c>
      <c r="E42" s="214" t="e">
        <f t="shared" si="25"/>
        <v>#DIV/0!</v>
      </c>
      <c r="F42" s="214"/>
      <c r="G42" s="214"/>
      <c r="H42" s="214"/>
      <c r="I42" s="214">
        <f t="shared" si="23"/>
        <v>0</v>
      </c>
      <c r="J42" s="215">
        <f t="shared" si="24"/>
        <v>0</v>
      </c>
      <c r="K42" s="216">
        <f>COUNTIF(无双吕布!$C$3:$K$11,无双吕布!$L42)</f>
        <v>0</v>
      </c>
      <c r="L42" s="218" t="s">
        <v>470</v>
      </c>
      <c r="P42">
        <v>500</v>
      </c>
      <c r="Q42">
        <v>1500</v>
      </c>
      <c r="R42">
        <v>1000</v>
      </c>
    </row>
    <row r="43" ht="15" customHeight="1" spans="1:30">
      <c r="A43" s="192" t="s">
        <v>458</v>
      </c>
      <c r="B43" s="193" t="s">
        <v>471</v>
      </c>
      <c r="C43" s="211">
        <v>30</v>
      </c>
      <c r="D43" s="212">
        <v>150</v>
      </c>
      <c r="E43" s="214" t="e">
        <f t="shared" si="25"/>
        <v>#DIV/0!</v>
      </c>
      <c r="F43" s="214"/>
      <c r="G43" s="214"/>
      <c r="H43" s="214"/>
      <c r="I43" s="214">
        <f t="shared" si="23"/>
        <v>0</v>
      </c>
      <c r="J43" s="215">
        <f t="shared" si="24"/>
        <v>0</v>
      </c>
      <c r="K43" s="216">
        <f>COUNTIF(无双吕布!$C$3:$K$11,无双吕布!$L43)</f>
        <v>0</v>
      </c>
      <c r="L43" s="218" t="s">
        <v>471</v>
      </c>
      <c r="P43">
        <v>500</v>
      </c>
      <c r="Q43">
        <v>1000</v>
      </c>
      <c r="R43">
        <v>100000</v>
      </c>
      <c r="X43" s="219" t="s">
        <v>472</v>
      </c>
      <c r="Y43" s="219" t="s">
        <v>473</v>
      </c>
    </row>
    <row r="44" ht="15" customHeight="1" spans="1:30">
      <c r="A44" s="192" t="s">
        <v>458</v>
      </c>
      <c r="B44" s="193" t="s">
        <v>345</v>
      </c>
      <c r="C44" s="211">
        <v>260</v>
      </c>
      <c r="D44" s="212">
        <v>300</v>
      </c>
      <c r="E44" s="213" t="e">
        <f>(D44-H44)/K44</f>
        <v>#DIV/0!</v>
      </c>
      <c r="F44" s="211"/>
      <c r="G44" s="211" t="e">
        <f>E44</f>
        <v>#DIV/0!</v>
      </c>
      <c r="H44" s="36"/>
      <c r="I44" s="220" t="e">
        <f t="shared" si="23"/>
        <v>#DIV/0!</v>
      </c>
      <c r="J44" s="36" t="e">
        <f t="shared" si="24"/>
        <v>#DIV/0!</v>
      </c>
      <c r="K44" s="216">
        <f>COUNTIF(无双吕布!$C$3:$K$11,无双吕布!$L44)</f>
        <v>0</v>
      </c>
      <c r="L44" s="218" t="s">
        <v>345</v>
      </c>
      <c r="P44">
        <v>500</v>
      </c>
      <c r="Q44">
        <v>1000</v>
      </c>
      <c r="R44">
        <v>100000</v>
      </c>
      <c r="X44" s="221" t="s">
        <v>474</v>
      </c>
      <c r="Y44" s="222">
        <v>0.04</v>
      </c>
    </row>
    <row r="45" ht="15" customHeight="1" spans="1:30">
      <c r="A45" s="192" t="s">
        <v>458</v>
      </c>
      <c r="B45" s="193" t="s">
        <v>413</v>
      </c>
      <c r="C45" s="211">
        <v>800</v>
      </c>
      <c r="D45" s="212">
        <f t="shared" ref="D45:D48" si="26">C45*$D$35</f>
        <v>400</v>
      </c>
      <c r="E45" s="211">
        <f t="shared" ref="E45:E52" si="27">D45/K45</f>
        <v>100</v>
      </c>
      <c r="F45" s="211"/>
      <c r="G45" s="214"/>
      <c r="H45" s="214"/>
      <c r="I45" s="214">
        <f t="shared" si="23"/>
        <v>0</v>
      </c>
      <c r="J45" s="215">
        <f t="shared" si="24"/>
        <v>0</v>
      </c>
      <c r="K45" s="216">
        <f>COUNTIF(无双吕布!$C$3:$K$11,无双吕布!$L45)</f>
        <v>4</v>
      </c>
      <c r="L45" s="218" t="s">
        <v>413</v>
      </c>
      <c r="P45">
        <v>500</v>
      </c>
      <c r="Q45">
        <v>1000</v>
      </c>
      <c r="R45">
        <v>100000</v>
      </c>
      <c r="X45" s="223" t="s">
        <v>475</v>
      </c>
      <c r="Y45" s="224">
        <v>0.08</v>
      </c>
    </row>
    <row r="46" ht="15" customHeight="1" spans="1:30">
      <c r="A46" s="192" t="s">
        <v>458</v>
      </c>
      <c r="B46" s="193" t="s">
        <v>412</v>
      </c>
      <c r="C46" s="211">
        <v>800</v>
      </c>
      <c r="D46" s="212">
        <f t="shared" si="26"/>
        <v>400</v>
      </c>
      <c r="E46" s="211">
        <f t="shared" si="27"/>
        <v>100</v>
      </c>
      <c r="F46" s="211"/>
      <c r="G46" s="214"/>
      <c r="H46" s="214"/>
      <c r="I46" s="214">
        <f t="shared" si="23"/>
        <v>0</v>
      </c>
      <c r="J46" s="215">
        <f t="shared" si="24"/>
        <v>0</v>
      </c>
      <c r="K46" s="216">
        <f>COUNTIF(无双吕布!$C$3:$K$11,无双吕布!$L46)</f>
        <v>4</v>
      </c>
      <c r="L46" s="218" t="s">
        <v>412</v>
      </c>
      <c r="P46">
        <v>500</v>
      </c>
      <c r="Q46">
        <v>1000</v>
      </c>
      <c r="R46">
        <v>100000</v>
      </c>
      <c r="X46" s="225" t="s">
        <v>476</v>
      </c>
      <c r="Y46" s="226">
        <v>0.12</v>
      </c>
    </row>
    <row r="47" ht="15" customHeight="1" spans="1:30">
      <c r="A47" s="192" t="s">
        <v>458</v>
      </c>
      <c r="B47" s="193" t="s">
        <v>400</v>
      </c>
      <c r="C47" s="227">
        <v>0.4</v>
      </c>
      <c r="D47" s="228">
        <v>0.2</v>
      </c>
      <c r="E47" s="227">
        <f t="shared" si="27"/>
        <v>0.2</v>
      </c>
      <c r="F47" s="227"/>
      <c r="G47" s="214"/>
      <c r="H47" s="214"/>
      <c r="I47" s="214">
        <f t="shared" si="23"/>
        <v>0</v>
      </c>
      <c r="J47" s="214">
        <f t="shared" si="24"/>
        <v>0</v>
      </c>
      <c r="K47" s="216">
        <f>COUNTIF(无双吕布!$C$3:$K$11,无双吕布!$L47)</f>
        <v>1</v>
      </c>
      <c r="L47" s="218" t="s">
        <v>400</v>
      </c>
      <c r="P47">
        <v>500</v>
      </c>
      <c r="Q47">
        <v>1000</v>
      </c>
      <c r="R47">
        <v>100000</v>
      </c>
      <c r="X47" s="223" t="s">
        <v>477</v>
      </c>
      <c r="Y47" s="224">
        <v>0.16</v>
      </c>
    </row>
    <row r="48" ht="15" customHeight="1" spans="1:30">
      <c r="A48" s="192" t="s">
        <v>458</v>
      </c>
      <c r="B48" s="193" t="s">
        <v>406</v>
      </c>
      <c r="C48" s="227">
        <v>0.4</v>
      </c>
      <c r="D48" s="228">
        <f t="shared" si="26"/>
        <v>0.2</v>
      </c>
      <c r="E48" s="227">
        <f t="shared" si="27"/>
        <v>0.2</v>
      </c>
      <c r="F48" s="227"/>
      <c r="G48" s="214"/>
      <c r="H48" s="214"/>
      <c r="I48" s="214">
        <f t="shared" si="23"/>
        <v>0</v>
      </c>
      <c r="J48" s="214">
        <f t="shared" si="24"/>
        <v>0</v>
      </c>
      <c r="K48" s="216">
        <f>COUNTIF(无双吕布!$C$3:$K$11,无双吕布!$L48)</f>
        <v>1</v>
      </c>
      <c r="L48" s="218" t="s">
        <v>406</v>
      </c>
      <c r="P48">
        <v>500</v>
      </c>
      <c r="Q48">
        <v>1500</v>
      </c>
      <c r="R48">
        <v>200</v>
      </c>
      <c r="X48" s="225" t="s">
        <v>478</v>
      </c>
      <c r="Y48" s="226">
        <v>0.24</v>
      </c>
    </row>
    <row r="49" ht="15" customHeight="1" spans="1:25">
      <c r="A49" s="192" t="s">
        <v>458</v>
      </c>
      <c r="B49" s="193" t="s">
        <v>479</v>
      </c>
      <c r="C49" s="227">
        <v>0.36</v>
      </c>
      <c r="D49" s="228">
        <v>0.6</v>
      </c>
      <c r="E49" s="229" t="e">
        <f t="shared" si="27"/>
        <v>#DIV/0!</v>
      </c>
      <c r="F49" s="229"/>
      <c r="G49" s="214"/>
      <c r="H49" s="214"/>
      <c r="I49" s="214">
        <f t="shared" si="23"/>
        <v>0</v>
      </c>
      <c r="J49" s="215">
        <f t="shared" si="24"/>
        <v>0</v>
      </c>
      <c r="K49" s="216">
        <f>COUNTIF(无双吕布!$C$3:$K$11,无双吕布!$L49)</f>
        <v>0</v>
      </c>
      <c r="L49" s="218" t="s">
        <v>479</v>
      </c>
      <c r="P49">
        <v>500</v>
      </c>
      <c r="Q49">
        <v>1500</v>
      </c>
      <c r="R49">
        <v>200</v>
      </c>
      <c r="X49" s="223" t="s">
        <v>480</v>
      </c>
      <c r="Y49" s="224">
        <v>0.32</v>
      </c>
    </row>
    <row r="50" ht="15" customHeight="1" spans="1:25">
      <c r="A50" s="192" t="s">
        <v>458</v>
      </c>
      <c r="B50" s="193" t="s">
        <v>481</v>
      </c>
      <c r="C50" s="227">
        <v>0.36</v>
      </c>
      <c r="D50" s="228">
        <v>0.6</v>
      </c>
      <c r="E50" s="229" t="e">
        <f t="shared" si="27"/>
        <v>#DIV/0!</v>
      </c>
      <c r="F50" s="229"/>
      <c r="G50" s="214"/>
      <c r="H50" s="214"/>
      <c r="I50" s="214">
        <f t="shared" si="23"/>
        <v>0</v>
      </c>
      <c r="J50" s="215">
        <f t="shared" si="24"/>
        <v>0</v>
      </c>
      <c r="K50" s="216">
        <f>COUNTIF(无双吕布!$C$3:$K$11,无双吕布!$L50)</f>
        <v>0</v>
      </c>
      <c r="L50" s="218" t="s">
        <v>481</v>
      </c>
      <c r="P50">
        <v>500</v>
      </c>
      <c r="Q50">
        <v>1500</v>
      </c>
      <c r="R50">
        <v>200</v>
      </c>
      <c r="X50" s="225" t="s">
        <v>482</v>
      </c>
      <c r="Y50" s="226">
        <v>0.4</v>
      </c>
    </row>
    <row r="51" ht="15" customHeight="1" spans="1:25">
      <c r="A51" s="192" t="s">
        <v>458</v>
      </c>
      <c r="B51" s="193" t="s">
        <v>483</v>
      </c>
      <c r="C51" s="227">
        <v>0.36</v>
      </c>
      <c r="D51" s="228">
        <v>0.6</v>
      </c>
      <c r="E51" s="229" t="e">
        <f t="shared" si="27"/>
        <v>#DIV/0!</v>
      </c>
      <c r="F51" s="229"/>
      <c r="G51" s="214"/>
      <c r="H51" s="214"/>
      <c r="I51" s="214">
        <f t="shared" si="23"/>
        <v>0</v>
      </c>
      <c r="J51" s="215">
        <f t="shared" si="24"/>
        <v>0</v>
      </c>
      <c r="K51" s="216">
        <f>COUNTIF(无双吕布!$C$3:$K$11,无双吕布!$L51)</f>
        <v>0</v>
      </c>
      <c r="L51" s="218" t="s">
        <v>483</v>
      </c>
      <c r="X51" s="223" t="s">
        <v>484</v>
      </c>
      <c r="Y51" s="224">
        <v>0.48</v>
      </c>
    </row>
    <row r="52" ht="15" customHeight="1" spans="1:25">
      <c r="A52" s="192" t="s">
        <v>458</v>
      </c>
      <c r="B52" s="193" t="s">
        <v>485</v>
      </c>
      <c r="C52" s="227">
        <v>0.36</v>
      </c>
      <c r="D52" s="228">
        <v>0.6</v>
      </c>
      <c r="E52" s="229" t="e">
        <f t="shared" si="27"/>
        <v>#DIV/0!</v>
      </c>
      <c r="F52" s="229"/>
      <c r="G52" s="214"/>
      <c r="H52" s="214"/>
      <c r="I52" s="214">
        <f t="shared" si="23"/>
        <v>0</v>
      </c>
      <c r="J52" s="215">
        <f t="shared" si="24"/>
        <v>0</v>
      </c>
      <c r="K52" s="216">
        <f>COUNTIF(无双吕布!$C$3:$K$11,无双吕布!$L52)</f>
        <v>0</v>
      </c>
      <c r="L52" s="218" t="s">
        <v>485</v>
      </c>
      <c r="P52">
        <v>1.2</v>
      </c>
      <c r="X52" s="225" t="s">
        <v>486</v>
      </c>
      <c r="Y52" s="226">
        <v>0.72</v>
      </c>
    </row>
    <row r="53" ht="15" customHeight="1" spans="1:25">
      <c r="A53" s="100" t="s">
        <v>447</v>
      </c>
      <c r="B53" s="135" t="s">
        <v>336</v>
      </c>
      <c r="C53" s="230">
        <v>15900</v>
      </c>
      <c r="D53" s="231">
        <v>24000</v>
      </c>
      <c r="E53" s="232">
        <f>(D53-H53)/K53</f>
        <v>2666.66666666667</v>
      </c>
      <c r="F53" s="232">
        <v>1980</v>
      </c>
      <c r="G53" s="232">
        <f t="shared" ref="G53:G68" si="28">E53</f>
        <v>2666.66666666667</v>
      </c>
      <c r="H53" s="233"/>
      <c r="I53" s="232">
        <f t="shared" si="23"/>
        <v>501.25313283208</v>
      </c>
      <c r="J53" s="232">
        <f t="shared" si="24"/>
        <v>501.25313283208</v>
      </c>
      <c r="K53" s="216">
        <f>COUNTIF(无双吕布!$C$3:$K$7,无双吕布!$L53)</f>
        <v>9</v>
      </c>
      <c r="L53" s="234" t="s">
        <v>336</v>
      </c>
      <c r="M53">
        <v>1</v>
      </c>
      <c r="P53" s="1" t="s">
        <v>487</v>
      </c>
      <c r="X53" s="223" t="s">
        <v>488</v>
      </c>
      <c r="Y53" s="224">
        <v>0.96</v>
      </c>
    </row>
    <row r="54" ht="15" customHeight="1" spans="1:25">
      <c r="A54" s="100" t="s">
        <v>447</v>
      </c>
      <c r="B54" s="135" t="s">
        <v>344</v>
      </c>
      <c r="C54" s="230">
        <v>4500</v>
      </c>
      <c r="D54" s="231">
        <v>3200</v>
      </c>
      <c r="E54" s="232">
        <f>(D54-H54)/K54</f>
        <v>1066.66666666667</v>
      </c>
      <c r="F54" s="235"/>
      <c r="G54" s="232">
        <f t="shared" si="28"/>
        <v>1066.66666666667</v>
      </c>
      <c r="H54" s="233"/>
      <c r="I54" s="232">
        <f t="shared" si="23"/>
        <v>200.501253132832</v>
      </c>
      <c r="J54" s="232">
        <f t="shared" si="24"/>
        <v>200.501253132832</v>
      </c>
      <c r="K54" s="216">
        <f>COUNTIF(无双吕布!$C$3:$K$7,无双吕布!$L54)</f>
        <v>3</v>
      </c>
      <c r="L54" s="234" t="s">
        <v>344</v>
      </c>
      <c r="M54">
        <v>1</v>
      </c>
      <c r="P54">
        <f t="shared" ref="P54:R54" si="29">P42*$P$52</f>
        <v>600</v>
      </c>
      <c r="Q54">
        <f t="shared" si="29"/>
        <v>1800</v>
      </c>
      <c r="R54">
        <f t="shared" si="29"/>
        <v>1200</v>
      </c>
      <c r="X54" s="225" t="s">
        <v>489</v>
      </c>
      <c r="Y54" s="226">
        <v>1.2</v>
      </c>
    </row>
    <row r="55" ht="15" customHeight="1" spans="1:25">
      <c r="A55" s="100" t="s">
        <v>447</v>
      </c>
      <c r="B55" s="135" t="s">
        <v>337</v>
      </c>
      <c r="C55" s="236">
        <v>2.23</v>
      </c>
      <c r="D55" s="237">
        <v>3.2</v>
      </c>
      <c r="E55" s="236">
        <f t="shared" ref="E55:E59" si="30">D55/K55</f>
        <v>0.8</v>
      </c>
      <c r="F55" s="235"/>
      <c r="G55" s="236">
        <f t="shared" si="28"/>
        <v>0.8</v>
      </c>
      <c r="H55" s="235"/>
      <c r="I55" s="236">
        <f t="shared" si="23"/>
        <v>0.150375939849624</v>
      </c>
      <c r="J55" s="236">
        <f t="shared" si="24"/>
        <v>0.150375939849624</v>
      </c>
      <c r="K55" s="216">
        <f>COUNTIF(无双吕布!$C$3:$K$11,无双吕布!$L55)</f>
        <v>4</v>
      </c>
      <c r="L55" s="234" t="s">
        <v>337</v>
      </c>
      <c r="M55">
        <v>1</v>
      </c>
      <c r="N55" t="e">
        <f>H29*1.2</f>
        <v>#DIV/0!</v>
      </c>
      <c r="P55">
        <f t="shared" ref="P55:R55" si="31">P43*$P$52</f>
        <v>600</v>
      </c>
      <c r="Q55">
        <f t="shared" si="31"/>
        <v>1200</v>
      </c>
      <c r="R55">
        <f t="shared" si="31"/>
        <v>120000</v>
      </c>
      <c r="X55" s="223" t="s">
        <v>490</v>
      </c>
      <c r="Y55" s="224">
        <v>1.68</v>
      </c>
    </row>
    <row r="56" ht="15" customHeight="1" spans="1:25">
      <c r="A56" s="100" t="s">
        <v>447</v>
      </c>
      <c r="B56" s="135" t="s">
        <v>341</v>
      </c>
      <c r="C56" s="236">
        <v>0.11</v>
      </c>
      <c r="D56" s="237">
        <v>0.53</v>
      </c>
      <c r="E56" s="236">
        <f t="shared" si="30"/>
        <v>0.53</v>
      </c>
      <c r="F56" s="235"/>
      <c r="G56" s="236">
        <f t="shared" si="28"/>
        <v>0.53</v>
      </c>
      <c r="H56" s="235"/>
      <c r="I56" s="238">
        <f t="shared" si="23"/>
        <v>0.0996240601503759</v>
      </c>
      <c r="J56" s="236">
        <f t="shared" si="24"/>
        <v>0.0996240601503759</v>
      </c>
      <c r="K56" s="216">
        <f>COUNTIF(无双吕布!$C$3:$K$11,无双吕布!$L56)</f>
        <v>1</v>
      </c>
      <c r="L56" s="234" t="s">
        <v>341</v>
      </c>
      <c r="M56">
        <v>1</v>
      </c>
      <c r="P56">
        <f t="shared" ref="P56:R56" si="32">P44*$P$52</f>
        <v>600</v>
      </c>
      <c r="Q56">
        <f t="shared" si="32"/>
        <v>1200</v>
      </c>
      <c r="R56">
        <f t="shared" si="32"/>
        <v>120000</v>
      </c>
      <c r="X56" s="225" t="s">
        <v>491</v>
      </c>
      <c r="Y56" s="226">
        <v>2.16</v>
      </c>
    </row>
    <row r="57" ht="15" customHeight="1" spans="1:25">
      <c r="A57" s="100" t="s">
        <v>447</v>
      </c>
      <c r="B57" s="135" t="s">
        <v>342</v>
      </c>
      <c r="C57" s="236">
        <v>0.11</v>
      </c>
      <c r="D57" s="237">
        <v>0.53</v>
      </c>
      <c r="E57" s="236">
        <f t="shared" si="30"/>
        <v>0.53</v>
      </c>
      <c r="F57" s="235"/>
      <c r="G57" s="236">
        <f t="shared" si="28"/>
        <v>0.53</v>
      </c>
      <c r="H57" s="235"/>
      <c r="I57" s="238">
        <f t="shared" si="23"/>
        <v>0.0996240601503759</v>
      </c>
      <c r="J57" s="236">
        <f t="shared" si="24"/>
        <v>0.0996240601503759</v>
      </c>
      <c r="K57" s="216">
        <f>COUNTIF(无双吕布!$C$3:$K$11,无双吕布!$L57)</f>
        <v>1</v>
      </c>
      <c r="L57" s="234" t="s">
        <v>342</v>
      </c>
      <c r="M57">
        <v>1</v>
      </c>
      <c r="P57">
        <f t="shared" ref="P57:R57" si="33">P45*$P$52</f>
        <v>600</v>
      </c>
      <c r="Q57">
        <f t="shared" si="33"/>
        <v>1200</v>
      </c>
      <c r="R57">
        <f t="shared" si="33"/>
        <v>120000</v>
      </c>
      <c r="X57" s="223" t="s">
        <v>492</v>
      </c>
      <c r="Y57" s="224">
        <v>2.64</v>
      </c>
    </row>
    <row r="58" ht="15" customHeight="1" spans="1:25">
      <c r="A58" s="100" t="s">
        <v>447</v>
      </c>
      <c r="B58" s="135" t="s">
        <v>340</v>
      </c>
      <c r="C58" s="236">
        <v>0.11</v>
      </c>
      <c r="D58" s="237">
        <v>0.53</v>
      </c>
      <c r="E58" s="236">
        <f t="shared" si="30"/>
        <v>0.53</v>
      </c>
      <c r="F58" s="235"/>
      <c r="G58" s="236">
        <f t="shared" si="28"/>
        <v>0.53</v>
      </c>
      <c r="H58" s="235"/>
      <c r="I58" s="238">
        <f t="shared" si="23"/>
        <v>0.0996240601503759</v>
      </c>
      <c r="J58" s="236">
        <f t="shared" si="24"/>
        <v>0.0996240601503759</v>
      </c>
      <c r="K58" s="216">
        <f>COUNTIF(无双吕布!$C$3:$K$11,无双吕布!$L58)</f>
        <v>1</v>
      </c>
      <c r="L58" s="234" t="s">
        <v>340</v>
      </c>
      <c r="M58">
        <v>1</v>
      </c>
      <c r="P58">
        <f t="shared" ref="P58:R58" si="34">P46*$P$52</f>
        <v>600</v>
      </c>
      <c r="Q58">
        <f t="shared" si="34"/>
        <v>1200</v>
      </c>
      <c r="R58">
        <f t="shared" si="34"/>
        <v>120000</v>
      </c>
      <c r="X58" s="225" t="s">
        <v>493</v>
      </c>
      <c r="Y58" s="226">
        <v>3.12</v>
      </c>
    </row>
    <row r="59" ht="15" customHeight="1" spans="1:25">
      <c r="A59" s="100" t="s">
        <v>447</v>
      </c>
      <c r="B59" s="135" t="s">
        <v>339</v>
      </c>
      <c r="C59" s="236">
        <v>0.11</v>
      </c>
      <c r="D59" s="237">
        <v>0.53</v>
      </c>
      <c r="E59" s="236">
        <f t="shared" si="30"/>
        <v>0.53</v>
      </c>
      <c r="F59" s="235"/>
      <c r="G59" s="236">
        <f t="shared" si="28"/>
        <v>0.53</v>
      </c>
      <c r="H59" s="235"/>
      <c r="I59" s="238">
        <f t="shared" si="23"/>
        <v>0.0996240601503759</v>
      </c>
      <c r="J59" s="236">
        <f t="shared" si="24"/>
        <v>0.0996240601503759</v>
      </c>
      <c r="K59" s="216">
        <f>COUNTIF(无双吕布!$C$3:$K$11,无双吕布!$L59)</f>
        <v>1</v>
      </c>
      <c r="L59" s="234" t="s">
        <v>339</v>
      </c>
      <c r="M59">
        <v>1</v>
      </c>
      <c r="P59">
        <f t="shared" ref="P59:R59" si="35">P47*$P$52</f>
        <v>600</v>
      </c>
      <c r="Q59">
        <f t="shared" si="35"/>
        <v>1200</v>
      </c>
      <c r="R59">
        <f t="shared" si="35"/>
        <v>120000</v>
      </c>
      <c r="X59" s="223" t="s">
        <v>494</v>
      </c>
      <c r="Y59" s="224">
        <v>3.36</v>
      </c>
    </row>
    <row r="60" ht="15" customHeight="1" spans="1:25">
      <c r="A60" s="100" t="s">
        <v>447</v>
      </c>
      <c r="B60" s="135" t="s">
        <v>343</v>
      </c>
      <c r="C60" s="230">
        <v>241</v>
      </c>
      <c r="D60" s="231">
        <v>270</v>
      </c>
      <c r="E60" s="232">
        <f>(D60-H60)/K60</f>
        <v>54</v>
      </c>
      <c r="F60" s="235"/>
      <c r="G60" s="232">
        <f t="shared" si="28"/>
        <v>54</v>
      </c>
      <c r="H60" s="233"/>
      <c r="I60" s="232">
        <f t="shared" si="23"/>
        <v>10.1503759398496</v>
      </c>
      <c r="J60" s="239">
        <f t="shared" si="24"/>
        <v>10.1503759398496</v>
      </c>
      <c r="K60" s="216">
        <f>COUNTIF(无双吕布!$C$3:$K$11,无双吕布!$L60)</f>
        <v>5</v>
      </c>
      <c r="L60" s="234" t="s">
        <v>343</v>
      </c>
      <c r="M60">
        <v>1</v>
      </c>
      <c r="P60">
        <f t="shared" ref="P60:R60" si="36">P48*$P$52</f>
        <v>600</v>
      </c>
      <c r="Q60">
        <f t="shared" si="36"/>
        <v>1800</v>
      </c>
      <c r="R60">
        <f t="shared" si="36"/>
        <v>240</v>
      </c>
      <c r="X60" s="225" t="s">
        <v>495</v>
      </c>
      <c r="Y60" s="226">
        <v>3.6</v>
      </c>
    </row>
    <row r="61" ht="15" customHeight="1" spans="1:25">
      <c r="A61" s="104" t="s">
        <v>387</v>
      </c>
      <c r="B61" s="49" t="s">
        <v>349</v>
      </c>
      <c r="C61" s="7">
        <v>210</v>
      </c>
      <c r="D61" s="240">
        <v>200</v>
      </c>
      <c r="E61" s="7">
        <f t="shared" ref="E61:E67" si="37">D61/K61</f>
        <v>200</v>
      </c>
      <c r="F61" s="235"/>
      <c r="G61" s="7">
        <f t="shared" si="28"/>
        <v>200</v>
      </c>
      <c r="H61" s="235"/>
      <c r="I61" s="241">
        <f t="shared" si="23"/>
        <v>37.593984962406</v>
      </c>
      <c r="J61" s="242">
        <f t="shared" si="24"/>
        <v>37.593984962406</v>
      </c>
      <c r="K61" s="216">
        <f>COUNTIF(无双吕布!$C$3:$K$11,无双吕布!$L61)</f>
        <v>1</v>
      </c>
      <c r="L61" s="234" t="s">
        <v>349</v>
      </c>
      <c r="M61" s="1"/>
      <c r="N61" s="1"/>
      <c r="P61">
        <f t="shared" ref="P61:R61" si="38">P49*$P$52</f>
        <v>600</v>
      </c>
      <c r="Q61">
        <f t="shared" si="38"/>
        <v>1800</v>
      </c>
      <c r="R61">
        <f t="shared" si="38"/>
        <v>240</v>
      </c>
      <c r="X61" s="223" t="s">
        <v>496</v>
      </c>
      <c r="Y61" s="224">
        <v>3.84</v>
      </c>
    </row>
    <row r="62" customFormat="1" ht="15" customHeight="1" spans="1:25">
      <c r="A62" s="104" t="s">
        <v>387</v>
      </c>
      <c r="B62" s="49" t="s">
        <v>351</v>
      </c>
      <c r="C62" s="7">
        <v>210</v>
      </c>
      <c r="D62" s="240">
        <v>200</v>
      </c>
      <c r="E62" s="7">
        <f t="shared" si="37"/>
        <v>200</v>
      </c>
      <c r="F62" s="235"/>
      <c r="G62" s="7">
        <f t="shared" si="28"/>
        <v>200</v>
      </c>
      <c r="H62" s="235"/>
      <c r="I62" s="241">
        <f t="shared" si="23"/>
        <v>37.593984962406</v>
      </c>
      <c r="J62" s="242">
        <f t="shared" si="24"/>
        <v>37.593984962406</v>
      </c>
      <c r="K62" s="216">
        <f>COUNTIF(无双吕布!$C$3:$K$11,无双吕布!$L62)</f>
        <v>1</v>
      </c>
      <c r="L62" s="243" t="s">
        <v>351</v>
      </c>
      <c r="M62" s="1"/>
      <c r="N62" s="1"/>
      <c r="P62">
        <f t="shared" ref="P62:R62" si="39">P50*$P$52</f>
        <v>600</v>
      </c>
      <c r="Q62">
        <f t="shared" si="39"/>
        <v>1800</v>
      </c>
      <c r="R62">
        <f t="shared" si="39"/>
        <v>240</v>
      </c>
      <c r="X62" s="225" t="s">
        <v>497</v>
      </c>
      <c r="Y62" s="226">
        <v>4.08</v>
      </c>
    </row>
    <row r="63" ht="15" customHeight="1" spans="1:25">
      <c r="A63" s="104" t="s">
        <v>387</v>
      </c>
      <c r="B63" s="49" t="s">
        <v>498</v>
      </c>
      <c r="C63" s="244">
        <v>0.288</v>
      </c>
      <c r="D63" s="245">
        <v>0.55</v>
      </c>
      <c r="E63" s="244">
        <f t="shared" si="37"/>
        <v>0.55</v>
      </c>
      <c r="F63" s="235"/>
      <c r="G63" s="244">
        <f t="shared" si="28"/>
        <v>0.55</v>
      </c>
      <c r="H63" s="235"/>
      <c r="I63" s="244">
        <f t="shared" si="23"/>
        <v>0.103383458646617</v>
      </c>
      <c r="J63" s="244">
        <f t="shared" si="24"/>
        <v>0.103383458646617</v>
      </c>
      <c r="K63" s="216">
        <f>COUNTIF(无双吕布!$C$3:$K$11,无双吕布!$L63)</f>
        <v>1</v>
      </c>
      <c r="L63" s="234" t="s">
        <v>352</v>
      </c>
      <c r="X63" s="246" t="s">
        <v>499</v>
      </c>
      <c r="Y63" s="247">
        <v>4.32</v>
      </c>
    </row>
    <row r="64" ht="15" customHeight="1" spans="1:25">
      <c r="A64" s="104" t="s">
        <v>387</v>
      </c>
      <c r="B64" s="49" t="s">
        <v>500</v>
      </c>
      <c r="C64" s="244">
        <v>0.5</v>
      </c>
      <c r="D64" s="245">
        <v>0.55</v>
      </c>
      <c r="E64" s="244">
        <f t="shared" si="37"/>
        <v>0.55</v>
      </c>
      <c r="F64" s="235"/>
      <c r="G64" s="244">
        <f t="shared" si="28"/>
        <v>0.55</v>
      </c>
      <c r="H64" s="235"/>
      <c r="I64" s="244">
        <f t="shared" si="23"/>
        <v>0.103383458646617</v>
      </c>
      <c r="J64" s="244">
        <f t="shared" si="24"/>
        <v>0.103383458646617</v>
      </c>
      <c r="K64" s="216">
        <f>COUNTIF(无双吕布!$C$3:$K$11,无双吕布!$L64)</f>
        <v>1</v>
      </c>
      <c r="L64" s="234" t="s">
        <v>348</v>
      </c>
    </row>
    <row r="65" ht="15" customHeight="1" spans="1:12">
      <c r="A65" s="104" t="s">
        <v>387</v>
      </c>
      <c r="B65" s="49" t="s">
        <v>501</v>
      </c>
      <c r="C65" s="244">
        <v>0.5</v>
      </c>
      <c r="D65" s="245">
        <v>0.55</v>
      </c>
      <c r="E65" s="244">
        <f t="shared" si="37"/>
        <v>0.55</v>
      </c>
      <c r="F65" s="235"/>
      <c r="G65" s="244">
        <f t="shared" si="28"/>
        <v>0.55</v>
      </c>
      <c r="H65" s="235"/>
      <c r="I65" s="244">
        <f t="shared" si="23"/>
        <v>0.103383458646617</v>
      </c>
      <c r="J65" s="244">
        <f t="shared" si="24"/>
        <v>0.103383458646617</v>
      </c>
      <c r="K65" s="216">
        <f>COUNTIF(无双吕布!$C$3:$K$11,无双吕布!$L65)</f>
        <v>1</v>
      </c>
      <c r="L65" s="234" t="s">
        <v>350</v>
      </c>
    </row>
    <row r="66" ht="15" customHeight="1" spans="1:12">
      <c r="A66" s="104" t="s">
        <v>387</v>
      </c>
      <c r="B66" s="49" t="s">
        <v>502</v>
      </c>
      <c r="C66" s="244">
        <v>0.71</v>
      </c>
      <c r="D66" s="245">
        <v>1.1</v>
      </c>
      <c r="E66" s="244">
        <f t="shared" si="37"/>
        <v>0.55</v>
      </c>
      <c r="F66" s="235"/>
      <c r="G66" s="244">
        <f t="shared" si="28"/>
        <v>0.55</v>
      </c>
      <c r="H66" s="235"/>
      <c r="I66" s="244">
        <f t="shared" si="23"/>
        <v>0.103383458646617</v>
      </c>
      <c r="J66" s="244">
        <f t="shared" si="24"/>
        <v>0.103383458646617</v>
      </c>
      <c r="K66" s="216">
        <f>COUNTIF(无双吕布!$C$3:$K$11,无双吕布!$L66)</f>
        <v>2</v>
      </c>
      <c r="L66" s="234" t="s">
        <v>347</v>
      </c>
    </row>
    <row r="67" ht="15" customHeight="1" spans="1:12">
      <c r="A67" s="104" t="s">
        <v>387</v>
      </c>
      <c r="B67" s="49" t="s">
        <v>346</v>
      </c>
      <c r="C67" s="244">
        <v>0.44</v>
      </c>
      <c r="D67" s="245">
        <v>1.1</v>
      </c>
      <c r="E67" s="244">
        <f t="shared" si="37"/>
        <v>0.55</v>
      </c>
      <c r="F67" s="235"/>
      <c r="G67" s="244">
        <f t="shared" si="28"/>
        <v>0.55</v>
      </c>
      <c r="H67" s="235"/>
      <c r="I67" s="244">
        <f t="shared" si="23"/>
        <v>0.103383458646617</v>
      </c>
      <c r="J67" s="244">
        <f t="shared" si="24"/>
        <v>0.103383458646617</v>
      </c>
      <c r="K67" s="216">
        <f>COUNTIF(无双吕布!$C$3:$K$11,无双吕布!$L67)</f>
        <v>2</v>
      </c>
      <c r="L67" s="234" t="s">
        <v>346</v>
      </c>
    </row>
    <row r="68" ht="15" customHeight="1" spans="1:12">
      <c r="A68" s="248" t="s">
        <v>503</v>
      </c>
      <c r="B68" s="249" t="s">
        <v>504</v>
      </c>
      <c r="C68" s="250">
        <v>0.585</v>
      </c>
      <c r="D68" s="237">
        <v>1.06</v>
      </c>
      <c r="E68" s="250">
        <f>(D68-H68)/K68</f>
        <v>0.53</v>
      </c>
      <c r="F68" s="250"/>
      <c r="G68" s="250">
        <f t="shared" si="28"/>
        <v>0.53</v>
      </c>
      <c r="H68" s="250"/>
      <c r="I68" s="250">
        <f t="shared" si="23"/>
        <v>0.0996240601503759</v>
      </c>
      <c r="J68" s="250">
        <f t="shared" si="24"/>
        <v>0.0996240601503759</v>
      </c>
      <c r="K68" s="216">
        <f>COUNTIF(无双吕布!$C$3:$K$11,无双吕布!$L68)</f>
        <v>2</v>
      </c>
      <c r="L68" s="251" t="s">
        <v>338</v>
      </c>
    </row>
    <row r="70" spans="1:12">
      <c r="A70" s="1"/>
    </row>
    <row r="71" ht="14.25"/>
    <row r="72" ht="27.75" spans="1:12">
      <c r="A72" s="252" t="s">
        <v>505</v>
      </c>
      <c r="B72" s="119" t="s">
        <v>506</v>
      </c>
      <c r="C72" s="118" t="s">
        <v>507</v>
      </c>
      <c r="D72" s="118" t="s">
        <v>508</v>
      </c>
      <c r="E72" s="118" t="s">
        <v>509</v>
      </c>
      <c r="F72" s="118" t="s">
        <v>509</v>
      </c>
      <c r="G72" s="118" t="s">
        <v>510</v>
      </c>
      <c r="H72" s="118" t="s">
        <v>511</v>
      </c>
      <c r="I72" s="122" t="s">
        <v>512</v>
      </c>
      <c r="J72" s="66" t="s">
        <v>513</v>
      </c>
      <c r="K72" s="66" t="s">
        <v>514</v>
      </c>
    </row>
    <row r="73" spans="1:12">
      <c r="A73" s="253" t="s">
        <v>229</v>
      </c>
      <c r="B73" s="254" t="s">
        <v>151</v>
      </c>
      <c r="C73" s="255">
        <v>0.25</v>
      </c>
      <c r="D73" s="255">
        <f t="shared" ref="D73:D79" si="40">$AD$30*C73</f>
        <v>1.33</v>
      </c>
      <c r="E73" s="256">
        <v>0.01</v>
      </c>
      <c r="F73" s="255">
        <v>0.5</v>
      </c>
      <c r="G73" s="255">
        <f t="shared" ref="G73:G79" si="41">E73*C73</f>
        <v>0.0025</v>
      </c>
      <c r="H73" s="257">
        <f t="shared" ref="H73:H79" si="42">(G73+I73)/2</f>
        <v>0.06125</v>
      </c>
      <c r="I73" s="258">
        <v>0.12</v>
      </c>
      <c r="J73" s="259">
        <f t="shared" ref="J73:J79" si="43">G73*D73</f>
        <v>0.003325</v>
      </c>
      <c r="K73" s="260">
        <f t="shared" ref="K73:K79" si="44">I73*D73</f>
        <v>0.1596</v>
      </c>
    </row>
    <row r="74" spans="1:12">
      <c r="A74" s="261" t="s">
        <v>105</v>
      </c>
      <c r="B74" s="262" t="s">
        <v>151</v>
      </c>
      <c r="C74" s="263">
        <v>0.25</v>
      </c>
      <c r="D74" s="263">
        <f t="shared" si="40"/>
        <v>1.33</v>
      </c>
      <c r="E74" s="264">
        <v>0.51</v>
      </c>
      <c r="F74" s="263">
        <v>1</v>
      </c>
      <c r="G74" s="263">
        <f t="shared" si="41"/>
        <v>0.1275</v>
      </c>
      <c r="H74" s="265">
        <f t="shared" si="42"/>
        <v>0.18875</v>
      </c>
      <c r="I74" s="266">
        <f t="shared" ref="I74:I79" si="45">F74*C74</f>
        <v>0.25</v>
      </c>
      <c r="J74" s="267">
        <f t="shared" si="43"/>
        <v>0.169575</v>
      </c>
      <c r="K74" s="268">
        <f t="shared" si="44"/>
        <v>0.3325</v>
      </c>
    </row>
    <row r="75" spans="1:12">
      <c r="A75" s="261" t="s">
        <v>105</v>
      </c>
      <c r="B75" s="262" t="s">
        <v>232</v>
      </c>
      <c r="C75" s="263">
        <v>0.5</v>
      </c>
      <c r="D75" s="263">
        <f t="shared" si="40"/>
        <v>2.66</v>
      </c>
      <c r="E75" s="264">
        <v>0.25</v>
      </c>
      <c r="F75" s="263">
        <v>0.6</v>
      </c>
      <c r="G75" s="263">
        <f t="shared" si="41"/>
        <v>0.125</v>
      </c>
      <c r="H75" s="265">
        <f t="shared" si="42"/>
        <v>0.2125</v>
      </c>
      <c r="I75" s="266">
        <f t="shared" si="45"/>
        <v>0.3</v>
      </c>
      <c r="J75" s="269">
        <f t="shared" si="43"/>
        <v>0.3325</v>
      </c>
      <c r="K75" s="258">
        <f t="shared" si="44"/>
        <v>0.798</v>
      </c>
    </row>
    <row r="76" spans="1:12">
      <c r="A76" s="270" t="s">
        <v>47</v>
      </c>
      <c r="B76" s="271" t="s">
        <v>232</v>
      </c>
      <c r="C76" s="272">
        <v>0.5</v>
      </c>
      <c r="D76" s="272">
        <f t="shared" si="40"/>
        <v>2.66</v>
      </c>
      <c r="E76" s="273">
        <v>0.61</v>
      </c>
      <c r="F76" s="272">
        <v>1</v>
      </c>
      <c r="G76" s="272">
        <f t="shared" si="41"/>
        <v>0.305</v>
      </c>
      <c r="H76" s="274">
        <f t="shared" si="42"/>
        <v>0.4025</v>
      </c>
      <c r="I76" s="275">
        <f t="shared" si="45"/>
        <v>0.5</v>
      </c>
      <c r="J76" s="267">
        <f t="shared" si="43"/>
        <v>0.8113</v>
      </c>
      <c r="K76" s="268">
        <f t="shared" si="44"/>
        <v>1.33</v>
      </c>
    </row>
    <row r="77" spans="1:12">
      <c r="A77" s="276" t="s">
        <v>47</v>
      </c>
      <c r="B77" s="277" t="s">
        <v>235</v>
      </c>
      <c r="C77" s="278">
        <v>1</v>
      </c>
      <c r="D77" s="278">
        <f t="shared" si="40"/>
        <v>5.32</v>
      </c>
      <c r="E77" s="279">
        <v>0.25</v>
      </c>
      <c r="F77" s="278">
        <v>0.4</v>
      </c>
      <c r="G77" s="278">
        <f t="shared" si="41"/>
        <v>0.25</v>
      </c>
      <c r="H77" s="280">
        <f t="shared" si="42"/>
        <v>0.325</v>
      </c>
      <c r="I77" s="281">
        <f t="shared" si="45"/>
        <v>0.4</v>
      </c>
      <c r="J77" s="269">
        <f t="shared" si="43"/>
        <v>1.33</v>
      </c>
      <c r="K77" s="258">
        <f t="shared" si="44"/>
        <v>2.128</v>
      </c>
    </row>
    <row r="78" spans="1:12">
      <c r="A78" s="282" t="s">
        <v>52</v>
      </c>
      <c r="B78" s="283" t="s">
        <v>235</v>
      </c>
      <c r="C78" s="284">
        <v>1</v>
      </c>
      <c r="D78" s="284">
        <f t="shared" si="40"/>
        <v>5.32</v>
      </c>
      <c r="E78" s="285">
        <v>0.41</v>
      </c>
      <c r="F78" s="284">
        <v>0.8</v>
      </c>
      <c r="G78" s="284">
        <f t="shared" si="41"/>
        <v>0.41</v>
      </c>
      <c r="H78" s="286">
        <f t="shared" si="42"/>
        <v>0.605</v>
      </c>
      <c r="I78" s="287">
        <f t="shared" si="45"/>
        <v>0.8</v>
      </c>
      <c r="J78" s="267">
        <f t="shared" si="43"/>
        <v>2.1812</v>
      </c>
      <c r="K78" s="258">
        <f t="shared" si="44"/>
        <v>4.256</v>
      </c>
    </row>
    <row r="79" ht="14.25" spans="1:12">
      <c r="A79" s="288" t="s">
        <v>61</v>
      </c>
      <c r="B79" s="289" t="s">
        <v>235</v>
      </c>
      <c r="C79" s="290">
        <v>1</v>
      </c>
      <c r="D79" s="290">
        <f t="shared" si="40"/>
        <v>5.32</v>
      </c>
      <c r="E79" s="291">
        <v>0.81</v>
      </c>
      <c r="F79" s="290">
        <v>1</v>
      </c>
      <c r="G79" s="290">
        <f t="shared" si="41"/>
        <v>0.81</v>
      </c>
      <c r="H79" s="292">
        <f t="shared" si="42"/>
        <v>0.905</v>
      </c>
      <c r="I79" s="293">
        <f t="shared" si="45"/>
        <v>1</v>
      </c>
      <c r="J79" s="294">
        <f t="shared" si="43"/>
        <v>4.3092</v>
      </c>
      <c r="K79" s="295">
        <f t="shared" si="44"/>
        <v>5.32</v>
      </c>
    </row>
    <row r="84" spans="6:9">
      <c r="F84" s="1">
        <v>100</v>
      </c>
    </row>
    <row r="86" spans="6:9">
      <c r="G86" s="1" t="s">
        <v>515</v>
      </c>
      <c r="H86" s="1" t="s">
        <v>47</v>
      </c>
      <c r="I86" s="1" t="s">
        <v>61</v>
      </c>
    </row>
    <row r="87" spans="6:9">
      <c r="F87" s="2">
        <v>0.25</v>
      </c>
    </row>
    <row r="88" spans="6:9">
      <c r="F88">
        <f>F84*F87</f>
        <v>25</v>
      </c>
    </row>
    <row r="103" spans="1:2">
      <c r="A103" s="135" t="s">
        <v>375</v>
      </c>
      <c r="B103">
        <v>1</v>
      </c>
    </row>
    <row r="104" spans="1:2">
      <c r="A104" s="135" t="s">
        <v>343</v>
      </c>
      <c r="B104">
        <v>1</v>
      </c>
    </row>
    <row r="105" spans="1:2">
      <c r="A105" s="135" t="s">
        <v>376</v>
      </c>
      <c r="B105">
        <v>1</v>
      </c>
    </row>
    <row r="106" spans="1:2">
      <c r="A106" s="135" t="s">
        <v>337</v>
      </c>
      <c r="B106">
        <v>1</v>
      </c>
    </row>
    <row r="107" spans="1:2">
      <c r="A107" s="135" t="s">
        <v>341</v>
      </c>
      <c r="B107">
        <v>1</v>
      </c>
    </row>
    <row r="108" spans="1:2">
      <c r="A108" s="135" t="s">
        <v>342</v>
      </c>
      <c r="B108">
        <v>1</v>
      </c>
    </row>
    <row r="109" spans="1:2">
      <c r="A109" s="135" t="s">
        <v>340</v>
      </c>
      <c r="B109">
        <v>1</v>
      </c>
    </row>
    <row r="110" spans="1:2">
      <c r="A110" s="135" t="s">
        <v>339</v>
      </c>
      <c r="B110">
        <v>1</v>
      </c>
    </row>
    <row r="111" spans="1:2">
      <c r="A111" s="49" t="s">
        <v>349</v>
      </c>
      <c r="B111">
        <v>1</v>
      </c>
    </row>
    <row r="112" spans="1:2">
      <c r="A112" s="49" t="s">
        <v>351</v>
      </c>
      <c r="B112">
        <v>1</v>
      </c>
    </row>
    <row r="113" spans="1:2">
      <c r="A113" s="49" t="s">
        <v>352</v>
      </c>
      <c r="B113">
        <v>1</v>
      </c>
    </row>
    <row r="114" spans="1:2">
      <c r="A114" s="49" t="s">
        <v>348</v>
      </c>
      <c r="B114">
        <v>1</v>
      </c>
    </row>
    <row r="115" spans="1:2">
      <c r="A115" s="49" t="s">
        <v>350</v>
      </c>
      <c r="B115">
        <v>1</v>
      </c>
    </row>
    <row r="116" ht="97.8" customHeight="1" spans="1:2">
      <c r="A116" s="49" t="s">
        <v>377</v>
      </c>
      <c r="B116">
        <v>1</v>
      </c>
    </row>
    <row r="117" spans="1:2">
      <c r="A117" s="49" t="s">
        <v>378</v>
      </c>
      <c r="B117">
        <v>1</v>
      </c>
    </row>
    <row r="118" spans="1:2">
      <c r="A118" s="49" t="s">
        <v>345</v>
      </c>
    </row>
    <row r="119" spans="1:2">
      <c r="A119" s="1" t="s">
        <v>338</v>
      </c>
    </row>
    <row r="120" ht="121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W13" sqref="W13:AB13"/>
    </sheetView>
  </sheetViews>
  <sheetFormatPr defaultColWidth="9" defaultRowHeight="13.5" outlineLevelCol="2"/>
  <cols>
    <col min="2" max="2" width="9" style="2"/>
  </cols>
  <sheetData>
    <row r="1" spans="1:3">
      <c r="A1" s="39" t="s">
        <v>472</v>
      </c>
      <c r="B1" s="112" t="s">
        <v>516</v>
      </c>
    </row>
    <row r="2" ht="14.25" spans="1:3">
      <c r="A2" s="40">
        <v>1</v>
      </c>
      <c r="B2" s="113">
        <v>0.04</v>
      </c>
      <c r="C2">
        <v>4</v>
      </c>
    </row>
    <row r="3" ht="14.25" spans="1:3">
      <c r="A3" s="40">
        <v>2</v>
      </c>
      <c r="B3" s="113">
        <v>0.08</v>
      </c>
      <c r="C3">
        <v>4</v>
      </c>
    </row>
    <row r="4" ht="14.25" spans="1:3">
      <c r="A4" s="40">
        <v>3</v>
      </c>
      <c r="B4" s="113">
        <v>0.12</v>
      </c>
      <c r="C4">
        <v>4</v>
      </c>
    </row>
    <row r="5" ht="14.25" spans="1:3">
      <c r="A5" s="40">
        <v>4</v>
      </c>
      <c r="B5" s="113">
        <v>0.16</v>
      </c>
      <c r="C5">
        <v>4</v>
      </c>
    </row>
    <row r="6" ht="14.25" spans="1:3">
      <c r="A6" s="40">
        <v>5</v>
      </c>
      <c r="B6" s="113">
        <v>0.24</v>
      </c>
      <c r="C6">
        <v>8</v>
      </c>
    </row>
    <row r="7" ht="14.25" spans="1:3">
      <c r="A7" s="40">
        <v>6</v>
      </c>
      <c r="B7" s="113">
        <v>0.32</v>
      </c>
      <c r="C7">
        <v>8</v>
      </c>
    </row>
    <row r="8" ht="14.25" spans="1:3">
      <c r="A8" s="40">
        <v>7</v>
      </c>
      <c r="B8" s="113">
        <v>0.4</v>
      </c>
      <c r="C8">
        <v>8</v>
      </c>
    </row>
    <row r="9" ht="14.25" spans="1:3">
      <c r="A9" s="40">
        <v>8</v>
      </c>
      <c r="B9" s="113">
        <v>0.48</v>
      </c>
      <c r="C9">
        <v>8</v>
      </c>
    </row>
    <row r="10" ht="14.25" spans="1:3">
      <c r="A10" s="40">
        <v>9</v>
      </c>
      <c r="B10" s="113">
        <v>0.72</v>
      </c>
      <c r="C10">
        <v>24</v>
      </c>
    </row>
    <row r="11" ht="14.25" spans="1:3">
      <c r="A11" s="40">
        <v>10</v>
      </c>
      <c r="B11" s="113">
        <v>0.96</v>
      </c>
      <c r="C11">
        <v>24</v>
      </c>
    </row>
    <row r="12" ht="14.25" spans="1:3">
      <c r="A12" s="40">
        <v>11</v>
      </c>
      <c r="B12" s="113">
        <v>1.2</v>
      </c>
      <c r="C12">
        <v>24</v>
      </c>
    </row>
    <row r="13" ht="14.25" spans="1:3">
      <c r="A13" s="40">
        <v>12</v>
      </c>
      <c r="B13" s="113">
        <v>1.68</v>
      </c>
      <c r="C13">
        <v>48</v>
      </c>
    </row>
    <row r="14" ht="14.25" spans="1:3">
      <c r="A14" s="40">
        <v>13</v>
      </c>
      <c r="B14" s="113">
        <v>2.16</v>
      </c>
      <c r="C14">
        <v>48</v>
      </c>
    </row>
    <row r="15" ht="14.25" spans="1:3">
      <c r="A15" s="40">
        <v>14</v>
      </c>
      <c r="B15" s="113">
        <v>2.64</v>
      </c>
      <c r="C15">
        <v>48</v>
      </c>
    </row>
    <row r="16" ht="14.25" spans="1:3">
      <c r="A16" s="40">
        <v>15</v>
      </c>
      <c r="B16" s="113">
        <v>3.12</v>
      </c>
      <c r="C16">
        <v>48</v>
      </c>
    </row>
    <row r="17" ht="14.25" spans="1:3">
      <c r="A17" s="40">
        <v>16</v>
      </c>
      <c r="B17" s="113">
        <v>3.36</v>
      </c>
      <c r="C17">
        <v>24</v>
      </c>
    </row>
    <row r="18" ht="14.25" spans="1:3">
      <c r="A18" s="40">
        <v>17</v>
      </c>
      <c r="B18" s="113">
        <v>3.6</v>
      </c>
      <c r="C18">
        <v>24</v>
      </c>
    </row>
    <row r="19" ht="14.25" spans="1:3">
      <c r="A19" s="40">
        <v>18</v>
      </c>
      <c r="B19" s="113">
        <v>3.84</v>
      </c>
      <c r="C19">
        <v>24</v>
      </c>
    </row>
    <row r="20" ht="14.25" spans="1:3">
      <c r="A20" s="40">
        <v>19</v>
      </c>
      <c r="B20" s="113">
        <v>4.08</v>
      </c>
      <c r="C20">
        <v>24</v>
      </c>
    </row>
    <row r="21" ht="14.25" spans="1:3">
      <c r="A21" s="40">
        <v>20</v>
      </c>
      <c r="B21" s="113">
        <v>4.32</v>
      </c>
      <c r="C21">
        <v>24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8080"/>
  </sheetPr>
  <dimension ref="A1:AC130"/>
  <sheetViews>
    <sheetView topLeftCell="O4" workbookViewId="0">
      <selection activeCell="O4" sqref="O4"/>
    </sheetView>
  </sheetViews>
  <sheetFormatPr defaultColWidth="9" defaultRowHeight="13.5"/>
  <cols>
    <col min="1" max="1" width="15" customWidth="1"/>
    <col min="16" max="16" width="9.03333333333333"/>
    <col min="23" max="23" width="10.375" customWidth="1"/>
    <col min="24" max="24" width="11.5" customWidth="1"/>
    <col min="26" max="26" width="12.625"/>
    <col min="28" max="28" width="11.5"/>
    <col min="29" max="29" width="12.625"/>
  </cols>
  <sheetData>
    <row r="1" ht="30.85" customHeight="1" spans="1:24">
      <c r="A1" s="76" t="s">
        <v>517</v>
      </c>
      <c r="B1" s="77" t="s">
        <v>150</v>
      </c>
      <c r="C1" s="77" t="s">
        <v>158</v>
      </c>
      <c r="D1" s="77" t="s">
        <v>165</v>
      </c>
      <c r="E1" s="77" t="s">
        <v>174</v>
      </c>
      <c r="F1" s="77" t="s">
        <v>172</v>
      </c>
      <c r="G1" s="77" t="s">
        <v>179</v>
      </c>
      <c r="H1" s="77" t="s">
        <v>176</v>
      </c>
      <c r="I1" s="77" t="s">
        <v>191</v>
      </c>
      <c r="J1" s="77" t="s">
        <v>334</v>
      </c>
      <c r="K1" s="78" t="s">
        <v>518</v>
      </c>
      <c r="L1" s="79" t="s">
        <v>519</v>
      </c>
      <c r="M1" s="76" t="s">
        <v>150</v>
      </c>
      <c r="N1" s="77" t="s">
        <v>158</v>
      </c>
      <c r="O1" s="77" t="s">
        <v>165</v>
      </c>
      <c r="P1" s="77" t="s">
        <v>174</v>
      </c>
      <c r="Q1" s="77" t="s">
        <v>172</v>
      </c>
      <c r="R1" s="77" t="s">
        <v>179</v>
      </c>
      <c r="S1" s="77" t="s">
        <v>176</v>
      </c>
      <c r="T1" s="78" t="s">
        <v>191</v>
      </c>
      <c r="U1" s="80" t="s">
        <v>334</v>
      </c>
      <c r="V1" s="79" t="s">
        <v>519</v>
      </c>
      <c r="W1" s="79" t="s">
        <v>520</v>
      </c>
      <c r="X1" s="79" t="s">
        <v>521</v>
      </c>
    </row>
    <row r="2" ht="15" customHeight="1" spans="1:24">
      <c r="A2" s="81" t="s">
        <v>385</v>
      </c>
      <c r="B2" s="82">
        <f>800+1143+200+600</f>
        <v>2743</v>
      </c>
      <c r="C2" s="82">
        <f>800+2328+112</f>
        <v>3240</v>
      </c>
      <c r="D2" s="82">
        <f>800+1143+600</f>
        <v>2543</v>
      </c>
      <c r="E2" s="82">
        <f>800+1143+153</f>
        <v>2096</v>
      </c>
      <c r="F2" s="82">
        <f>800+1143+600+200</f>
        <v>2743</v>
      </c>
      <c r="G2" s="82">
        <f>750+571</f>
        <v>1321</v>
      </c>
      <c r="H2" s="82">
        <f>552</f>
        <v>552</v>
      </c>
      <c r="I2" s="82">
        <f>571</f>
        <v>571</v>
      </c>
      <c r="J2" s="82">
        <f>1164</f>
        <v>1164</v>
      </c>
      <c r="K2" s="83">
        <f>1600</f>
        <v>1600</v>
      </c>
      <c r="L2" s="84">
        <f t="shared" ref="L2:L38" si="0">SUM(B2:K2)</f>
        <v>18573</v>
      </c>
      <c r="M2" s="85"/>
      <c r="N2" s="86">
        <v>0.015</v>
      </c>
      <c r="O2" s="86"/>
      <c r="P2" s="86">
        <v>0.03</v>
      </c>
      <c r="Q2" s="86"/>
      <c r="R2" s="87"/>
      <c r="S2" s="87"/>
      <c r="T2" s="87"/>
      <c r="U2" s="88"/>
      <c r="V2" s="89">
        <f>SUM(M2:U2)</f>
        <v>0.045</v>
      </c>
      <c r="W2" s="84">
        <f t="shared" ref="W2:W38" si="1">L2*(1+V2)</f>
        <v>19408.785</v>
      </c>
      <c r="X2" s="84">
        <f t="shared" ref="X2:X38" si="2">W2-L2</f>
        <v>835.785</v>
      </c>
    </row>
    <row r="3" ht="15" customHeight="1" spans="1:24">
      <c r="A3" s="90" t="s">
        <v>401</v>
      </c>
      <c r="B3" s="91">
        <f t="shared" ref="B3:E3" si="3">800+1143</f>
        <v>1943</v>
      </c>
      <c r="C3" s="91">
        <f>800+2328</f>
        <v>3128</v>
      </c>
      <c r="D3" s="91">
        <f t="shared" si="3"/>
        <v>1943</v>
      </c>
      <c r="E3" s="91">
        <f t="shared" si="3"/>
        <v>1943</v>
      </c>
      <c r="F3" s="91">
        <f>580+800+1143</f>
        <v>2523</v>
      </c>
      <c r="G3" s="91">
        <f>571</f>
        <v>571</v>
      </c>
      <c r="H3" s="91">
        <f>552</f>
        <v>552</v>
      </c>
      <c r="I3" s="91">
        <f>571</f>
        <v>571</v>
      </c>
      <c r="J3" s="91">
        <f>1164</f>
        <v>1164</v>
      </c>
      <c r="K3" s="92">
        <f>1600</f>
        <v>1600</v>
      </c>
      <c r="L3" s="93">
        <f t="shared" si="0"/>
        <v>15938</v>
      </c>
      <c r="M3" s="94"/>
      <c r="N3" s="75"/>
      <c r="O3" s="75"/>
      <c r="P3" s="75"/>
      <c r="Q3" s="75"/>
      <c r="R3" s="95"/>
      <c r="S3" s="95"/>
      <c r="T3" s="95"/>
      <c r="U3" s="96"/>
      <c r="V3" s="97">
        <f t="shared" ref="V3:V38" si="4">SUM(M3:U3)</f>
        <v>0</v>
      </c>
      <c r="W3" s="93">
        <f t="shared" si="1"/>
        <v>15938</v>
      </c>
      <c r="X3" s="93">
        <f t="shared" si="2"/>
        <v>0</v>
      </c>
    </row>
    <row r="4" ht="15" customHeight="1" spans="1:24">
      <c r="A4" s="90" t="s">
        <v>408</v>
      </c>
      <c r="B4" s="40">
        <f>478</f>
        <v>478</v>
      </c>
      <c r="C4" s="40">
        <f>717</f>
        <v>717</v>
      </c>
      <c r="D4" s="40">
        <f>251</f>
        <v>251</v>
      </c>
      <c r="E4" s="40">
        <f>598</f>
        <v>598</v>
      </c>
      <c r="F4" s="40">
        <v>239</v>
      </c>
      <c r="G4" s="40"/>
      <c r="H4" s="40"/>
      <c r="I4" s="40"/>
      <c r="J4" s="40"/>
      <c r="K4" s="92"/>
      <c r="L4" s="93">
        <f t="shared" si="0"/>
        <v>2283</v>
      </c>
      <c r="M4" s="94"/>
      <c r="N4" s="75"/>
      <c r="O4" s="75"/>
      <c r="P4" s="75"/>
      <c r="Q4" s="75"/>
      <c r="R4" s="95"/>
      <c r="S4" s="95"/>
      <c r="T4" s="95"/>
      <c r="U4" s="96"/>
      <c r="V4" s="97">
        <f t="shared" si="4"/>
        <v>0</v>
      </c>
      <c r="W4" s="93">
        <f t="shared" si="1"/>
        <v>2283</v>
      </c>
      <c r="X4" s="93">
        <f t="shared" si="2"/>
        <v>0</v>
      </c>
    </row>
    <row r="5" ht="15" customHeight="1" spans="1:24">
      <c r="A5" s="90" t="s">
        <v>407</v>
      </c>
      <c r="B5" s="40"/>
      <c r="C5" s="40"/>
      <c r="D5" s="40"/>
      <c r="E5" s="40">
        <f>520</f>
        <v>520</v>
      </c>
      <c r="F5" s="40"/>
      <c r="G5" s="40">
        <f>1062</f>
        <v>1062</v>
      </c>
      <c r="H5" s="40">
        <f>1062</f>
        <v>1062</v>
      </c>
      <c r="I5" s="40">
        <f>679</f>
        <v>679</v>
      </c>
      <c r="J5" s="40"/>
      <c r="K5" s="92"/>
      <c r="L5" s="93">
        <f t="shared" si="0"/>
        <v>3323</v>
      </c>
      <c r="M5" s="94"/>
      <c r="N5" s="75">
        <v>0.04</v>
      </c>
      <c r="O5" s="75"/>
      <c r="P5" s="75"/>
      <c r="Q5" s="75"/>
      <c r="R5" s="95"/>
      <c r="S5" s="95"/>
      <c r="T5" s="95"/>
      <c r="U5" s="96"/>
      <c r="V5" s="97">
        <f t="shared" si="4"/>
        <v>0.04</v>
      </c>
      <c r="W5" s="93">
        <f t="shared" si="1"/>
        <v>3455.92</v>
      </c>
      <c r="X5" s="93">
        <f t="shared" si="2"/>
        <v>132.92</v>
      </c>
    </row>
    <row r="6" ht="15" customHeight="1" spans="1:24">
      <c r="A6" s="90" t="s">
        <v>467</v>
      </c>
      <c r="B6" s="40"/>
      <c r="C6" s="40"/>
      <c r="D6" s="40"/>
      <c r="E6" s="40"/>
      <c r="F6" s="40"/>
      <c r="G6" s="40"/>
      <c r="H6" s="40"/>
      <c r="I6" s="40"/>
      <c r="J6" s="40"/>
      <c r="K6" s="92"/>
      <c r="L6" s="93">
        <f t="shared" si="0"/>
        <v>0</v>
      </c>
      <c r="M6" s="94"/>
      <c r="N6" s="75"/>
      <c r="O6" s="75"/>
      <c r="P6" s="75"/>
      <c r="Q6" s="75"/>
      <c r="R6" s="95"/>
      <c r="S6" s="95"/>
      <c r="T6" s="95"/>
      <c r="U6" s="96"/>
      <c r="V6" s="97">
        <f t="shared" si="4"/>
        <v>0</v>
      </c>
      <c r="W6" s="93">
        <f t="shared" si="1"/>
        <v>0</v>
      </c>
      <c r="X6" s="93">
        <f t="shared" si="2"/>
        <v>0</v>
      </c>
    </row>
    <row r="7" ht="15" customHeight="1" spans="1:24">
      <c r="A7" s="90" t="s">
        <v>468</v>
      </c>
      <c r="B7" s="40"/>
      <c r="C7" s="40"/>
      <c r="D7" s="40"/>
      <c r="E7" s="40"/>
      <c r="F7" s="40"/>
      <c r="G7" s="40"/>
      <c r="H7" s="40"/>
      <c r="I7" s="40"/>
      <c r="J7" s="40"/>
      <c r="K7" s="92"/>
      <c r="L7" s="93">
        <f t="shared" si="0"/>
        <v>0</v>
      </c>
      <c r="M7" s="94"/>
      <c r="N7" s="75"/>
      <c r="O7" s="75"/>
      <c r="P7" s="75"/>
      <c r="Q7" s="75"/>
      <c r="R7" s="95"/>
      <c r="S7" s="95"/>
      <c r="T7" s="95"/>
      <c r="U7" s="96"/>
      <c r="V7" s="97">
        <f t="shared" si="4"/>
        <v>0</v>
      </c>
      <c r="W7" s="93">
        <f t="shared" si="1"/>
        <v>0</v>
      </c>
      <c r="X7" s="93">
        <f t="shared" si="2"/>
        <v>0</v>
      </c>
    </row>
    <row r="8" ht="15" customHeight="1" spans="1:24">
      <c r="A8" s="90" t="s">
        <v>470</v>
      </c>
      <c r="B8" s="40">
        <v>11</v>
      </c>
      <c r="C8" s="40"/>
      <c r="D8" s="40"/>
      <c r="E8" s="40"/>
      <c r="F8" s="40"/>
      <c r="G8" s="40"/>
      <c r="H8" s="40"/>
      <c r="I8" s="40"/>
      <c r="J8" s="40"/>
      <c r="K8" s="92"/>
      <c r="L8" s="93">
        <f t="shared" si="0"/>
        <v>11</v>
      </c>
      <c r="M8" s="94"/>
      <c r="N8" s="75"/>
      <c r="O8" s="75"/>
      <c r="P8" s="75"/>
      <c r="Q8" s="75"/>
      <c r="R8" s="95"/>
      <c r="S8" s="95"/>
      <c r="T8" s="95"/>
      <c r="U8" s="96"/>
      <c r="V8" s="97">
        <f t="shared" si="4"/>
        <v>0</v>
      </c>
      <c r="W8" s="93">
        <f t="shared" si="1"/>
        <v>11</v>
      </c>
      <c r="X8" s="93">
        <f t="shared" si="2"/>
        <v>0</v>
      </c>
    </row>
    <row r="9" ht="15" customHeight="1" spans="1:24">
      <c r="A9" s="90" t="s">
        <v>471</v>
      </c>
      <c r="B9" s="40"/>
      <c r="C9" s="40"/>
      <c r="D9" s="40"/>
      <c r="E9" s="40"/>
      <c r="F9" s="40"/>
      <c r="G9" s="40"/>
      <c r="H9" s="40"/>
      <c r="I9" s="40"/>
      <c r="J9" s="40"/>
      <c r="K9" s="92"/>
      <c r="L9" s="93">
        <f t="shared" si="0"/>
        <v>0</v>
      </c>
      <c r="M9" s="94"/>
      <c r="N9" s="75"/>
      <c r="O9" s="75"/>
      <c r="P9" s="75"/>
      <c r="Q9" s="75"/>
      <c r="R9" s="95"/>
      <c r="S9" s="95"/>
      <c r="T9" s="95"/>
      <c r="U9" s="96"/>
      <c r="V9" s="97">
        <f t="shared" si="4"/>
        <v>0</v>
      </c>
      <c r="W9" s="93">
        <f t="shared" si="1"/>
        <v>0</v>
      </c>
      <c r="X9" s="93">
        <f t="shared" si="2"/>
        <v>0</v>
      </c>
    </row>
    <row r="10" ht="15" customHeight="1" spans="1:24">
      <c r="A10" s="90" t="s">
        <v>345</v>
      </c>
      <c r="B10" s="91">
        <f>39</f>
        <v>39</v>
      </c>
      <c r="C10" s="91">
        <f>11+39</f>
        <v>50</v>
      </c>
      <c r="D10" s="91">
        <f>16+33</f>
        <v>49</v>
      </c>
      <c r="E10" s="91">
        <f>33</f>
        <v>33</v>
      </c>
      <c r="F10" s="91">
        <f>16+39</f>
        <v>55</v>
      </c>
      <c r="G10" s="91">
        <f>16</f>
        <v>16</v>
      </c>
      <c r="H10" s="91">
        <f>10</f>
        <v>10</v>
      </c>
      <c r="I10" s="91"/>
      <c r="J10" s="91">
        <f>12</f>
        <v>12</v>
      </c>
      <c r="K10" s="92">
        <f>20+10</f>
        <v>30</v>
      </c>
      <c r="L10" s="93">
        <f t="shared" si="0"/>
        <v>294</v>
      </c>
      <c r="M10" s="94"/>
      <c r="N10" s="75"/>
      <c r="O10" s="75"/>
      <c r="P10" s="75"/>
      <c r="Q10" s="75"/>
      <c r="R10" s="95"/>
      <c r="S10" s="95"/>
      <c r="T10" s="95"/>
      <c r="U10" s="96"/>
      <c r="V10" s="97">
        <f t="shared" si="4"/>
        <v>0</v>
      </c>
      <c r="W10" s="93">
        <f t="shared" si="1"/>
        <v>294</v>
      </c>
      <c r="X10" s="93">
        <f t="shared" si="2"/>
        <v>0</v>
      </c>
    </row>
    <row r="11" ht="15" customHeight="1" spans="1:24">
      <c r="A11" s="90" t="s">
        <v>413</v>
      </c>
      <c r="B11" s="40"/>
      <c r="C11" s="40"/>
      <c r="D11" s="40">
        <f>99</f>
        <v>99</v>
      </c>
      <c r="E11" s="40"/>
      <c r="F11" s="40">
        <f>140</f>
        <v>140</v>
      </c>
      <c r="G11" s="40">
        <f>175</f>
        <v>175</v>
      </c>
      <c r="H11" s="40">
        <f>211</f>
        <v>211</v>
      </c>
      <c r="I11" s="40">
        <f>57+175</f>
        <v>232</v>
      </c>
      <c r="J11" s="40"/>
      <c r="K11" s="92"/>
      <c r="L11" s="93">
        <f t="shared" si="0"/>
        <v>857</v>
      </c>
      <c r="M11" s="94"/>
      <c r="N11" s="75"/>
      <c r="O11" s="75">
        <f>2%</f>
        <v>0.02</v>
      </c>
      <c r="P11" s="75"/>
      <c r="Q11" s="75">
        <v>0.04</v>
      </c>
      <c r="R11" s="95"/>
      <c r="S11" s="95"/>
      <c r="T11" s="95"/>
      <c r="U11" s="96"/>
      <c r="V11" s="97">
        <f t="shared" si="4"/>
        <v>0.06</v>
      </c>
      <c r="W11" s="93">
        <f t="shared" si="1"/>
        <v>908.42</v>
      </c>
      <c r="X11" s="93">
        <f t="shared" si="2"/>
        <v>51.4200000000001</v>
      </c>
    </row>
    <row r="12" ht="15" customHeight="1" spans="1:24">
      <c r="A12" s="90" t="s">
        <v>412</v>
      </c>
      <c r="B12" s="40">
        <f>44</f>
        <v>44</v>
      </c>
      <c r="C12" s="40"/>
      <c r="D12" s="40"/>
      <c r="E12" s="40"/>
      <c r="F12" s="40">
        <f>54</f>
        <v>54</v>
      </c>
      <c r="G12" s="40">
        <f>175</f>
        <v>175</v>
      </c>
      <c r="H12" s="40">
        <f>95+211</f>
        <v>306</v>
      </c>
      <c r="I12" s="40">
        <f>175</f>
        <v>175</v>
      </c>
      <c r="J12" s="40"/>
      <c r="K12" s="92"/>
      <c r="L12" s="93">
        <f t="shared" si="0"/>
        <v>754</v>
      </c>
      <c r="M12" s="94">
        <f>2%</f>
        <v>0.02</v>
      </c>
      <c r="N12" s="75"/>
      <c r="O12" s="75"/>
      <c r="P12" s="75"/>
      <c r="Q12" s="75">
        <v>0.03</v>
      </c>
      <c r="R12" s="95"/>
      <c r="S12" s="95"/>
      <c r="T12" s="95"/>
      <c r="U12" s="96"/>
      <c r="V12" s="97">
        <f t="shared" si="4"/>
        <v>0.05</v>
      </c>
      <c r="W12" s="93">
        <f t="shared" si="1"/>
        <v>791.7</v>
      </c>
      <c r="X12" s="93">
        <f t="shared" si="2"/>
        <v>37.7</v>
      </c>
    </row>
    <row r="13" ht="15" customHeight="1" spans="1:24">
      <c r="A13" s="90" t="s">
        <v>400</v>
      </c>
      <c r="B13" s="41"/>
      <c r="C13" s="41">
        <f>10%</f>
        <v>0.1</v>
      </c>
      <c r="D13" s="41">
        <f>12%</f>
        <v>0.12</v>
      </c>
      <c r="E13" s="41">
        <f>12%</f>
        <v>0.12</v>
      </c>
      <c r="F13" s="41"/>
      <c r="G13" s="41"/>
      <c r="H13" s="41"/>
      <c r="I13" s="41"/>
      <c r="J13" s="41">
        <f>5%</f>
        <v>0.05</v>
      </c>
      <c r="K13" s="98"/>
      <c r="L13" s="99">
        <f t="shared" si="0"/>
        <v>0.39</v>
      </c>
      <c r="M13" s="94"/>
      <c r="N13" s="75"/>
      <c r="O13" s="75"/>
      <c r="P13" s="75"/>
      <c r="Q13" s="75"/>
      <c r="R13" s="95"/>
      <c r="S13" s="95"/>
      <c r="T13" s="95"/>
      <c r="U13" s="96"/>
      <c r="V13" s="97">
        <f t="shared" si="4"/>
        <v>0</v>
      </c>
      <c r="W13" s="99">
        <f t="shared" si="1"/>
        <v>0.39</v>
      </c>
      <c r="X13" s="99">
        <f t="shared" si="2"/>
        <v>0</v>
      </c>
    </row>
    <row r="14" ht="15" customHeight="1" spans="1:24">
      <c r="A14" s="90" t="s">
        <v>406</v>
      </c>
      <c r="B14" s="41"/>
      <c r="C14" s="41"/>
      <c r="D14" s="41"/>
      <c r="E14" s="41"/>
      <c r="F14" s="41"/>
      <c r="G14" s="41"/>
      <c r="H14" s="41"/>
      <c r="I14" s="41"/>
      <c r="J14" s="41">
        <f>5%</f>
        <v>0.05</v>
      </c>
      <c r="K14" s="98"/>
      <c r="L14" s="99">
        <f t="shared" si="0"/>
        <v>0.05</v>
      </c>
      <c r="M14" s="94"/>
      <c r="N14" s="75"/>
      <c r="O14" s="75"/>
      <c r="P14" s="75"/>
      <c r="Q14" s="75"/>
      <c r="R14" s="95"/>
      <c r="S14" s="95"/>
      <c r="T14" s="95"/>
      <c r="U14" s="96"/>
      <c r="V14" s="97">
        <f t="shared" si="4"/>
        <v>0</v>
      </c>
      <c r="W14" s="99">
        <f t="shared" si="1"/>
        <v>0.05</v>
      </c>
      <c r="X14" s="99">
        <f t="shared" si="2"/>
        <v>0</v>
      </c>
    </row>
    <row r="15" ht="15" customHeight="1" spans="1:24">
      <c r="A15" s="90" t="s">
        <v>479</v>
      </c>
      <c r="B15" s="75"/>
      <c r="C15" s="75"/>
      <c r="D15" s="75"/>
      <c r="E15" s="75"/>
      <c r="F15" s="75"/>
      <c r="G15" s="75"/>
      <c r="H15" s="75">
        <f>10%</f>
        <v>0.1</v>
      </c>
      <c r="I15" s="75"/>
      <c r="J15" s="75"/>
      <c r="K15" s="95"/>
      <c r="L15" s="97">
        <f t="shared" si="0"/>
        <v>0.1</v>
      </c>
      <c r="M15" s="94"/>
      <c r="N15" s="75"/>
      <c r="O15" s="75"/>
      <c r="P15" s="75"/>
      <c r="Q15" s="75"/>
      <c r="R15" s="95"/>
      <c r="S15" s="95"/>
      <c r="T15" s="95"/>
      <c r="U15" s="96"/>
      <c r="V15" s="97">
        <f t="shared" si="4"/>
        <v>0</v>
      </c>
      <c r="W15" s="93">
        <f t="shared" si="1"/>
        <v>0.1</v>
      </c>
      <c r="X15" s="93">
        <f t="shared" si="2"/>
        <v>0</v>
      </c>
    </row>
    <row r="16" ht="15" customHeight="1" spans="1:24">
      <c r="A16" s="90" t="s">
        <v>481</v>
      </c>
      <c r="B16" s="75"/>
      <c r="C16" s="75"/>
      <c r="D16" s="75"/>
      <c r="E16" s="75"/>
      <c r="F16" s="75"/>
      <c r="G16" s="75"/>
      <c r="H16" s="75">
        <f>10%</f>
        <v>0.1</v>
      </c>
      <c r="I16" s="75"/>
      <c r="J16" s="75"/>
      <c r="K16" s="95"/>
      <c r="L16" s="97">
        <f t="shared" si="0"/>
        <v>0.1</v>
      </c>
      <c r="M16" s="94"/>
      <c r="N16" s="75"/>
      <c r="O16" s="75"/>
      <c r="P16" s="75"/>
      <c r="Q16" s="75"/>
      <c r="R16" s="95"/>
      <c r="S16" s="95"/>
      <c r="T16" s="95"/>
      <c r="U16" s="96"/>
      <c r="V16" s="97">
        <f t="shared" si="4"/>
        <v>0</v>
      </c>
      <c r="W16" s="93">
        <f t="shared" si="1"/>
        <v>0.1</v>
      </c>
      <c r="X16" s="93">
        <f t="shared" si="2"/>
        <v>0</v>
      </c>
    </row>
    <row r="17" ht="15" customHeight="1" spans="1:29">
      <c r="A17" s="90" t="s">
        <v>483</v>
      </c>
      <c r="B17" s="75"/>
      <c r="C17" s="75"/>
      <c r="D17" s="75"/>
      <c r="E17" s="75"/>
      <c r="F17" s="75"/>
      <c r="G17" s="75"/>
      <c r="H17" s="75">
        <f>10%</f>
        <v>0.1</v>
      </c>
      <c r="I17" s="75"/>
      <c r="J17" s="75"/>
      <c r="K17" s="95"/>
      <c r="L17" s="97">
        <f t="shared" si="0"/>
        <v>0.1</v>
      </c>
      <c r="M17" s="94"/>
      <c r="N17" s="75"/>
      <c r="O17" s="75"/>
      <c r="P17" s="75"/>
      <c r="Q17" s="75"/>
      <c r="R17" s="95"/>
      <c r="S17" s="95"/>
      <c r="T17" s="95"/>
      <c r="U17" s="96"/>
      <c r="V17" s="97">
        <f t="shared" si="4"/>
        <v>0</v>
      </c>
      <c r="W17" s="93">
        <f t="shared" si="1"/>
        <v>0.1</v>
      </c>
      <c r="X17" s="93">
        <f t="shared" si="2"/>
        <v>0</v>
      </c>
      <c r="Z17" s="1" t="s">
        <v>522</v>
      </c>
    </row>
    <row r="18" ht="15" customHeight="1" spans="1:29">
      <c r="A18" s="90" t="s">
        <v>485</v>
      </c>
      <c r="B18" s="75"/>
      <c r="C18" s="75"/>
      <c r="D18" s="75"/>
      <c r="E18" s="75"/>
      <c r="F18" s="75"/>
      <c r="G18" s="75"/>
      <c r="H18" s="75">
        <f>10%</f>
        <v>0.1</v>
      </c>
      <c r="I18" s="75"/>
      <c r="J18" s="75"/>
      <c r="K18" s="95"/>
      <c r="L18" s="97">
        <f t="shared" si="0"/>
        <v>0.1</v>
      </c>
      <c r="M18" s="94"/>
      <c r="N18" s="75"/>
      <c r="O18" s="75"/>
      <c r="P18" s="75"/>
      <c r="Q18" s="75"/>
      <c r="R18" s="95"/>
      <c r="S18" s="95"/>
      <c r="T18" s="95"/>
      <c r="U18" s="96"/>
      <c r="V18" s="97">
        <f t="shared" si="4"/>
        <v>0</v>
      </c>
      <c r="W18" s="93">
        <f t="shared" si="1"/>
        <v>0.1</v>
      </c>
      <c r="X18" s="93">
        <f t="shared" si="2"/>
        <v>0</v>
      </c>
      <c r="Z18" s="1" t="s">
        <v>523</v>
      </c>
    </row>
    <row r="19" ht="15" customHeight="1" spans="1:29">
      <c r="A19" s="100" t="s">
        <v>524</v>
      </c>
      <c r="B19" s="40">
        <f>176+35+40</f>
        <v>251</v>
      </c>
      <c r="C19" s="40"/>
      <c r="D19" s="40">
        <f>40+35</f>
        <v>75</v>
      </c>
      <c r="E19" s="40"/>
      <c r="F19" s="40">
        <f>35</f>
        <v>35</v>
      </c>
      <c r="G19" s="40">
        <f>120+50+60+300</f>
        <v>530</v>
      </c>
      <c r="H19" s="40">
        <f>200+50+60+800</f>
        <v>1110</v>
      </c>
      <c r="I19" s="40">
        <f>50+60+300</f>
        <v>410</v>
      </c>
      <c r="J19" s="40">
        <f>1682+30+602+363+195</f>
        <v>2872</v>
      </c>
      <c r="K19" s="92"/>
      <c r="L19" s="93">
        <f t="shared" si="0"/>
        <v>5283</v>
      </c>
      <c r="M19" s="94"/>
      <c r="N19" s="75">
        <f>5%</f>
        <v>0.05</v>
      </c>
      <c r="O19" s="75">
        <v>0.06</v>
      </c>
      <c r="P19" s="75">
        <v>0.05</v>
      </c>
      <c r="Q19" s="75"/>
      <c r="R19" s="95"/>
      <c r="S19" s="95">
        <f>15%+5%</f>
        <v>0.2</v>
      </c>
      <c r="T19" s="95">
        <f>5%+5%</f>
        <v>0.1</v>
      </c>
      <c r="U19" s="101">
        <f>15%+3%+10.6%+19%</f>
        <v>0.476</v>
      </c>
      <c r="V19" s="97">
        <f t="shared" si="4"/>
        <v>0.936</v>
      </c>
      <c r="W19" s="102">
        <f>L19*(AB19)+(L19*Z19)</f>
        <v>29267.410091786</v>
      </c>
      <c r="X19" s="102">
        <f t="shared" si="2"/>
        <v>23984.410091786</v>
      </c>
      <c r="Z19" s="97">
        <f>312%</f>
        <v>3.12</v>
      </c>
      <c r="AB19" s="95">
        <f>1.05*1.06*1.05*1.15*1.05*1.1*1.15*1.03*1.106*1.19</f>
        <v>2.41992240995381</v>
      </c>
      <c r="AC19">
        <f>L19*(1+Z19)*AB19</f>
        <v>52671.9343781582</v>
      </c>
    </row>
    <row r="20" ht="15" customHeight="1" spans="1:29">
      <c r="A20" s="100" t="s">
        <v>525</v>
      </c>
      <c r="B20" s="40">
        <f t="shared" ref="B20:F20" si="5">35</f>
        <v>35</v>
      </c>
      <c r="C20" s="40"/>
      <c r="D20" s="40">
        <f t="shared" si="5"/>
        <v>35</v>
      </c>
      <c r="E20" s="40"/>
      <c r="F20" s="40">
        <f t="shared" si="5"/>
        <v>35</v>
      </c>
      <c r="G20" s="40">
        <f>120+60+300</f>
        <v>480</v>
      </c>
      <c r="H20" s="40">
        <f>200+60+800</f>
        <v>1060</v>
      </c>
      <c r="I20" s="40">
        <f>60+300</f>
        <v>360</v>
      </c>
      <c r="J20" s="40">
        <f>1282+602+363+195</f>
        <v>2442</v>
      </c>
      <c r="K20" s="92"/>
      <c r="L20" s="93">
        <f t="shared" si="0"/>
        <v>4447</v>
      </c>
      <c r="M20" s="94"/>
      <c r="N20" s="75"/>
      <c r="O20" s="75">
        <v>0.06</v>
      </c>
      <c r="P20" s="75"/>
      <c r="Q20" s="75"/>
      <c r="R20" s="95"/>
      <c r="S20" s="95">
        <f>15%</f>
        <v>0.15</v>
      </c>
      <c r="T20" s="95">
        <f>5%+5%</f>
        <v>0.1</v>
      </c>
      <c r="U20" s="96">
        <f>15%+3%+19%</f>
        <v>0.37</v>
      </c>
      <c r="V20" s="97">
        <f t="shared" si="4"/>
        <v>0.68</v>
      </c>
      <c r="W20" s="102">
        <f>L20*(AB20)</f>
        <v>8169.285751</v>
      </c>
      <c r="X20" s="102">
        <f t="shared" si="2"/>
        <v>3722.285751</v>
      </c>
      <c r="Z20" s="97">
        <f>312%</f>
        <v>3.12</v>
      </c>
      <c r="AB20" s="95">
        <f>1.06*1.15*1.1*1.37</f>
        <v>1.837033</v>
      </c>
    </row>
    <row r="21" ht="15" customHeight="1" spans="1:29">
      <c r="A21" s="100" t="s">
        <v>526</v>
      </c>
      <c r="B21" s="91">
        <f>150+103+81+195+45</f>
        <v>574</v>
      </c>
      <c r="C21" s="91">
        <f>150+130+60+50+60</f>
        <v>450</v>
      </c>
      <c r="D21" s="91">
        <f>138+95+77+40+228+45</f>
        <v>623</v>
      </c>
      <c r="E21" s="91">
        <f>150+103+40+50+60</f>
        <v>403</v>
      </c>
      <c r="F21" s="91">
        <f>147+95+75+237+45</f>
        <v>599</v>
      </c>
      <c r="G21" s="91">
        <f>76+120+175+80</f>
        <v>451</v>
      </c>
      <c r="H21" s="91">
        <f>76+211+80</f>
        <v>367</v>
      </c>
      <c r="I21" s="91">
        <f>45+164+175+80</f>
        <v>464</v>
      </c>
      <c r="J21" s="91">
        <f>70+50+40</f>
        <v>160</v>
      </c>
      <c r="K21" s="92"/>
      <c r="L21" s="93">
        <f t="shared" si="0"/>
        <v>4091</v>
      </c>
      <c r="M21" s="94"/>
      <c r="N21" s="75"/>
      <c r="O21" s="75">
        <f>5%</f>
        <v>0.05</v>
      </c>
      <c r="P21" s="75"/>
      <c r="Q21" s="75"/>
      <c r="R21" s="95"/>
      <c r="S21" s="95"/>
      <c r="T21" s="95"/>
      <c r="U21" s="96"/>
      <c r="V21" s="97">
        <f t="shared" si="4"/>
        <v>0.05</v>
      </c>
      <c r="W21" s="93">
        <f t="shared" si="1"/>
        <v>4295.55</v>
      </c>
      <c r="X21" s="93">
        <f t="shared" si="2"/>
        <v>204.55</v>
      </c>
    </row>
    <row r="22" ht="15" customHeight="1" spans="1:29">
      <c r="A22" s="100" t="s">
        <v>527</v>
      </c>
      <c r="B22" s="91">
        <f>103+81+195+45</f>
        <v>424</v>
      </c>
      <c r="C22" s="91">
        <f>130+60+50+60</f>
        <v>300</v>
      </c>
      <c r="D22" s="91">
        <f>95+77+40+228+45</f>
        <v>485</v>
      </c>
      <c r="E22" s="91">
        <f>103+40+50+60</f>
        <v>253</v>
      </c>
      <c r="F22" s="91">
        <f>95+75+237+45</f>
        <v>452</v>
      </c>
      <c r="G22" s="91">
        <f>76+120+175+80</f>
        <v>451</v>
      </c>
      <c r="H22" s="91">
        <f>76+211+80</f>
        <v>367</v>
      </c>
      <c r="I22" s="91">
        <f>164+175+80</f>
        <v>419</v>
      </c>
      <c r="J22" s="91">
        <f>70+50</f>
        <v>120</v>
      </c>
      <c r="K22" s="92"/>
      <c r="L22" s="93">
        <f t="shared" si="0"/>
        <v>3271</v>
      </c>
      <c r="M22" s="94"/>
      <c r="N22" s="75"/>
      <c r="O22" s="75">
        <f>5%</f>
        <v>0.05</v>
      </c>
      <c r="P22" s="75"/>
      <c r="Q22" s="75"/>
      <c r="R22" s="95"/>
      <c r="S22" s="95"/>
      <c r="T22" s="95"/>
      <c r="U22" s="96"/>
      <c r="V22" s="97">
        <f t="shared" si="4"/>
        <v>0.05</v>
      </c>
      <c r="W22" s="93">
        <f t="shared" si="1"/>
        <v>3434.55</v>
      </c>
      <c r="X22" s="93">
        <f t="shared" si="2"/>
        <v>163.55</v>
      </c>
    </row>
    <row r="23" ht="15" customHeight="1" spans="1:29">
      <c r="A23" s="100" t="s">
        <v>337</v>
      </c>
      <c r="B23" s="103"/>
      <c r="C23" s="103">
        <f>11.1%+7%</f>
        <v>0.181</v>
      </c>
      <c r="D23" s="103"/>
      <c r="E23" s="103">
        <f>4%+7%</f>
        <v>0.11</v>
      </c>
      <c r="F23" s="103"/>
      <c r="G23" s="103">
        <f>12.1%</f>
        <v>0.121</v>
      </c>
      <c r="H23" s="103">
        <f>20%+12.1%+6.5%+6%</f>
        <v>0.446</v>
      </c>
      <c r="I23" s="103">
        <f>12.6%+6.5%+5%+5%</f>
        <v>0.291</v>
      </c>
      <c r="J23" s="103">
        <f>20%+3.9%</f>
        <v>0.239</v>
      </c>
      <c r="K23" s="95">
        <f>30%</f>
        <v>0.3</v>
      </c>
      <c r="L23" s="97">
        <f t="shared" si="0"/>
        <v>1.688</v>
      </c>
      <c r="M23" s="94"/>
      <c r="N23" s="75"/>
      <c r="O23" s="75"/>
      <c r="P23" s="75"/>
      <c r="Q23" s="75"/>
      <c r="R23" s="95"/>
      <c r="S23" s="95"/>
      <c r="T23" s="95"/>
      <c r="U23" s="96"/>
      <c r="V23" s="97">
        <f t="shared" si="4"/>
        <v>0</v>
      </c>
      <c r="W23" s="97">
        <f t="shared" si="1"/>
        <v>1.688</v>
      </c>
      <c r="X23" s="97">
        <f t="shared" si="2"/>
        <v>0</v>
      </c>
    </row>
    <row r="24" ht="15" customHeight="1" spans="1:29">
      <c r="A24" s="100" t="s">
        <v>341</v>
      </c>
      <c r="B24" s="40"/>
      <c r="C24" s="40"/>
      <c r="D24" s="40"/>
      <c r="E24" s="40"/>
      <c r="F24" s="40"/>
      <c r="G24" s="95">
        <f>7%</f>
        <v>0.07</v>
      </c>
      <c r="H24" s="95">
        <f>4%</f>
        <v>0.04</v>
      </c>
      <c r="I24" s="95"/>
      <c r="J24" s="40"/>
      <c r="K24" s="92"/>
      <c r="L24" s="93">
        <f t="shared" si="0"/>
        <v>0.11</v>
      </c>
      <c r="M24" s="94"/>
      <c r="N24" s="75"/>
      <c r="O24" s="75"/>
      <c r="P24" s="75"/>
      <c r="Q24" s="75"/>
      <c r="R24" s="95"/>
      <c r="S24" s="95"/>
      <c r="T24" s="95"/>
      <c r="U24" s="96"/>
      <c r="V24" s="97">
        <f t="shared" si="4"/>
        <v>0</v>
      </c>
      <c r="W24" s="97">
        <f t="shared" si="1"/>
        <v>0.11</v>
      </c>
      <c r="X24" s="97">
        <f t="shared" si="2"/>
        <v>0</v>
      </c>
      <c r="Z24">
        <f>J19*(1.15*1.03*1.106*1.19)*Z19</f>
        <v>13969.3494962112</v>
      </c>
    </row>
    <row r="25" ht="15" customHeight="1" spans="1:29">
      <c r="A25" s="100" t="s">
        <v>342</v>
      </c>
      <c r="B25" s="40"/>
      <c r="C25" s="40"/>
      <c r="D25" s="40"/>
      <c r="E25" s="40"/>
      <c r="F25" s="40"/>
      <c r="G25" s="95">
        <f>6%</f>
        <v>0.06</v>
      </c>
      <c r="H25" s="95"/>
      <c r="I25" s="95"/>
      <c r="J25" s="40"/>
      <c r="K25" s="92"/>
      <c r="L25" s="93">
        <f t="shared" si="0"/>
        <v>0.06</v>
      </c>
      <c r="M25" s="94"/>
      <c r="N25" s="75"/>
      <c r="O25" s="75"/>
      <c r="P25" s="75"/>
      <c r="Q25" s="75"/>
      <c r="R25" s="95"/>
      <c r="S25" s="95"/>
      <c r="T25" s="95"/>
      <c r="U25" s="96"/>
      <c r="V25" s="97">
        <f t="shared" si="4"/>
        <v>0</v>
      </c>
      <c r="W25" s="97">
        <f t="shared" si="1"/>
        <v>0.06</v>
      </c>
      <c r="X25" s="97">
        <f t="shared" si="2"/>
        <v>0</v>
      </c>
    </row>
    <row r="26" ht="15" customHeight="1" spans="1:29">
      <c r="A26" s="100" t="s">
        <v>340</v>
      </c>
      <c r="B26" s="40"/>
      <c r="C26" s="40"/>
      <c r="D26" s="40"/>
      <c r="E26" s="40"/>
      <c r="F26" s="40"/>
      <c r="G26" s="95"/>
      <c r="H26" s="95">
        <f>9%</f>
        <v>0.09</v>
      </c>
      <c r="I26" s="95">
        <f>2%</f>
        <v>0.02</v>
      </c>
      <c r="J26" s="40"/>
      <c r="K26" s="92"/>
      <c r="L26" s="93">
        <f t="shared" si="0"/>
        <v>0.11</v>
      </c>
      <c r="M26" s="94"/>
      <c r="N26" s="75"/>
      <c r="O26" s="75"/>
      <c r="P26" s="75"/>
      <c r="Q26" s="75"/>
      <c r="R26" s="95"/>
      <c r="S26" s="95"/>
      <c r="T26" s="95"/>
      <c r="U26" s="96"/>
      <c r="V26" s="97">
        <f t="shared" si="4"/>
        <v>0</v>
      </c>
      <c r="W26" s="97">
        <f t="shared" si="1"/>
        <v>0.11</v>
      </c>
      <c r="X26" s="97">
        <f t="shared" si="2"/>
        <v>0</v>
      </c>
    </row>
    <row r="27" ht="15" customHeight="1" spans="1:29">
      <c r="A27" s="100" t="s">
        <v>339</v>
      </c>
      <c r="B27" s="40"/>
      <c r="C27" s="40"/>
      <c r="D27" s="40"/>
      <c r="E27" s="40"/>
      <c r="F27" s="40"/>
      <c r="G27" s="95">
        <f>4%+4%</f>
        <v>0.08</v>
      </c>
      <c r="H27" s="95"/>
      <c r="I27" s="95">
        <f>10%</f>
        <v>0.1</v>
      </c>
      <c r="J27" s="40"/>
      <c r="K27" s="92"/>
      <c r="L27" s="93">
        <f t="shared" si="0"/>
        <v>0.18</v>
      </c>
      <c r="M27" s="94"/>
      <c r="N27" s="75"/>
      <c r="O27" s="75"/>
      <c r="P27" s="75"/>
      <c r="Q27" s="75"/>
      <c r="R27" s="95"/>
      <c r="S27" s="95"/>
      <c r="T27" s="95"/>
      <c r="U27" s="96"/>
      <c r="V27" s="97">
        <f t="shared" si="4"/>
        <v>0</v>
      </c>
      <c r="W27" s="97">
        <f t="shared" si="1"/>
        <v>0.18</v>
      </c>
      <c r="X27" s="97">
        <f t="shared" si="2"/>
        <v>0</v>
      </c>
    </row>
    <row r="28" ht="15" customHeight="1" spans="1:29">
      <c r="A28" s="104" t="s">
        <v>349</v>
      </c>
      <c r="B28" s="40"/>
      <c r="C28" s="40"/>
      <c r="D28" s="40">
        <f>105</f>
        <v>105</v>
      </c>
      <c r="E28" s="40"/>
      <c r="F28" s="40"/>
      <c r="G28" s="40">
        <f>105</f>
        <v>105</v>
      </c>
      <c r="H28" s="40"/>
      <c r="I28" s="40"/>
      <c r="J28" s="40"/>
      <c r="K28" s="92"/>
      <c r="L28" s="93">
        <f t="shared" si="0"/>
        <v>210</v>
      </c>
      <c r="M28" s="94"/>
      <c r="N28" s="75"/>
      <c r="O28" s="75"/>
      <c r="P28" s="75"/>
      <c r="Q28" s="75"/>
      <c r="R28" s="95"/>
      <c r="S28" s="95"/>
      <c r="T28" s="95"/>
      <c r="U28" s="96"/>
      <c r="V28" s="97">
        <f t="shared" si="4"/>
        <v>0</v>
      </c>
      <c r="W28" s="93">
        <f t="shared" si="1"/>
        <v>210</v>
      </c>
      <c r="X28" s="93">
        <f t="shared" si="2"/>
        <v>0</v>
      </c>
    </row>
    <row r="29" ht="15" customHeight="1" spans="1:29">
      <c r="A29" s="104" t="s">
        <v>351</v>
      </c>
      <c r="B29" s="40"/>
      <c r="C29" s="40"/>
      <c r="D29" s="40"/>
      <c r="E29" s="40"/>
      <c r="F29" s="40">
        <f>105</f>
        <v>105</v>
      </c>
      <c r="G29" s="40"/>
      <c r="H29" s="40"/>
      <c r="I29" s="40">
        <f>105</f>
        <v>105</v>
      </c>
      <c r="J29" s="40"/>
      <c r="K29" s="92"/>
      <c r="L29" s="93">
        <f t="shared" si="0"/>
        <v>210</v>
      </c>
      <c r="M29" s="94"/>
      <c r="N29" s="75"/>
      <c r="O29" s="75"/>
      <c r="P29" s="75"/>
      <c r="Q29" s="75"/>
      <c r="R29" s="95"/>
      <c r="S29" s="95"/>
      <c r="T29" s="95"/>
      <c r="U29" s="96"/>
      <c r="V29" s="97">
        <f t="shared" si="4"/>
        <v>0</v>
      </c>
      <c r="W29" s="93">
        <f t="shared" si="1"/>
        <v>210</v>
      </c>
      <c r="X29" s="93">
        <f t="shared" si="2"/>
        <v>0</v>
      </c>
    </row>
    <row r="30" ht="15" customHeight="1" spans="1:29">
      <c r="A30" s="104" t="s">
        <v>498</v>
      </c>
      <c r="B30" s="75">
        <f>5%+0.7%</f>
        <v>0.057</v>
      </c>
      <c r="C30" s="75"/>
      <c r="D30" s="75">
        <f>1%</f>
        <v>0.01</v>
      </c>
      <c r="E30" s="75">
        <f>5%</f>
        <v>0.05</v>
      </c>
      <c r="F30" s="75">
        <f>2.1%+15%</f>
        <v>0.171</v>
      </c>
      <c r="G30" s="75"/>
      <c r="H30" s="75"/>
      <c r="I30" s="75"/>
      <c r="J30" s="75"/>
      <c r="K30" s="95"/>
      <c r="L30" s="97">
        <f t="shared" si="0"/>
        <v>0.288</v>
      </c>
      <c r="M30" s="94"/>
      <c r="N30" s="75"/>
      <c r="O30" s="75"/>
      <c r="P30" s="75"/>
      <c r="Q30" s="75"/>
      <c r="R30" s="95"/>
      <c r="S30" s="95"/>
      <c r="T30" s="95"/>
      <c r="U30" s="96"/>
      <c r="V30" s="97">
        <f t="shared" si="4"/>
        <v>0</v>
      </c>
      <c r="W30" s="97">
        <f t="shared" si="1"/>
        <v>0.288</v>
      </c>
      <c r="X30" s="97">
        <f t="shared" si="2"/>
        <v>0</v>
      </c>
    </row>
    <row r="31" ht="15" customHeight="1" spans="1:29">
      <c r="A31" s="104" t="s">
        <v>500</v>
      </c>
      <c r="B31" s="103">
        <f>8%+2%</f>
        <v>0.1</v>
      </c>
      <c r="C31" s="103">
        <f>3.7%</f>
        <v>0.037</v>
      </c>
      <c r="D31" s="103">
        <f>2%+8%</f>
        <v>0.1</v>
      </c>
      <c r="E31" s="103">
        <f>4.3%+8%</f>
        <v>0.123</v>
      </c>
      <c r="F31" s="103">
        <f>8%+2%</f>
        <v>0.1</v>
      </c>
      <c r="G31" s="103"/>
      <c r="H31" s="103"/>
      <c r="I31" s="103">
        <f>4%</f>
        <v>0.04</v>
      </c>
      <c r="J31" s="103"/>
      <c r="K31" s="95"/>
      <c r="L31" s="97">
        <f t="shared" si="0"/>
        <v>0.5</v>
      </c>
      <c r="M31" s="94"/>
      <c r="N31" s="75"/>
      <c r="O31" s="75"/>
      <c r="P31" s="75"/>
      <c r="Q31" s="75"/>
      <c r="R31" s="95"/>
      <c r="S31" s="95"/>
      <c r="T31" s="95"/>
      <c r="U31" s="96"/>
      <c r="V31" s="97">
        <f t="shared" si="4"/>
        <v>0</v>
      </c>
      <c r="W31" s="97">
        <f t="shared" si="1"/>
        <v>0.5</v>
      </c>
      <c r="X31" s="97">
        <f t="shared" si="2"/>
        <v>0</v>
      </c>
    </row>
    <row r="32" ht="15" customHeight="1" spans="1:29">
      <c r="A32" s="104" t="s">
        <v>501</v>
      </c>
      <c r="B32" s="103"/>
      <c r="C32" s="103">
        <f>0.4%</f>
        <v>0.004</v>
      </c>
      <c r="D32" s="103"/>
      <c r="E32" s="103">
        <f>2.9%</f>
        <v>0.029</v>
      </c>
      <c r="F32" s="103"/>
      <c r="G32" s="103"/>
      <c r="H32" s="103"/>
      <c r="I32" s="103"/>
      <c r="J32" s="103"/>
      <c r="K32" s="95"/>
      <c r="L32" s="97">
        <f t="shared" si="0"/>
        <v>0.033</v>
      </c>
      <c r="M32" s="94"/>
      <c r="N32" s="75"/>
      <c r="O32" s="75"/>
      <c r="P32" s="75"/>
      <c r="Q32" s="75"/>
      <c r="R32" s="95"/>
      <c r="S32" s="95"/>
      <c r="T32" s="95"/>
      <c r="U32" s="96"/>
      <c r="V32" s="97">
        <f t="shared" si="4"/>
        <v>0</v>
      </c>
      <c r="W32" s="97">
        <f t="shared" si="1"/>
        <v>0.033</v>
      </c>
      <c r="X32" s="97">
        <f t="shared" si="2"/>
        <v>0</v>
      </c>
    </row>
    <row r="33" ht="15" customHeight="1" spans="1:24">
      <c r="A33" s="104" t="s">
        <v>528</v>
      </c>
      <c r="B33" s="103">
        <f>3.6%+15%</f>
        <v>0.186</v>
      </c>
      <c r="C33" s="103"/>
      <c r="D33" s="103">
        <f>0.3%+5%</f>
        <v>0.053</v>
      </c>
      <c r="E33" s="103"/>
      <c r="F33" s="103">
        <f>2.1%</f>
        <v>0.021</v>
      </c>
      <c r="G33" s="103">
        <f>8%+9%</f>
        <v>0.17</v>
      </c>
      <c r="H33" s="103">
        <f>5%+8%+2%</f>
        <v>0.15</v>
      </c>
      <c r="I33" s="103">
        <f>8%</f>
        <v>0.08</v>
      </c>
      <c r="J33" s="103">
        <f>5%</f>
        <v>0.05</v>
      </c>
      <c r="K33" s="95"/>
      <c r="L33" s="97">
        <f t="shared" si="0"/>
        <v>0.71</v>
      </c>
      <c r="M33" s="94"/>
      <c r="N33" s="75"/>
      <c r="O33" s="75"/>
      <c r="P33" s="75"/>
      <c r="Q33" s="75"/>
      <c r="R33" s="95"/>
      <c r="S33" s="95"/>
      <c r="T33" s="95"/>
      <c r="U33" s="96"/>
      <c r="V33" s="97">
        <f t="shared" si="4"/>
        <v>0</v>
      </c>
      <c r="W33" s="97">
        <f t="shared" si="1"/>
        <v>0.71</v>
      </c>
      <c r="X33" s="97">
        <f t="shared" si="2"/>
        <v>0</v>
      </c>
    </row>
    <row r="34" ht="15" customHeight="1" spans="1:24">
      <c r="A34" s="104" t="s">
        <v>529</v>
      </c>
      <c r="B34" s="103">
        <f>1.2%</f>
        <v>0.012</v>
      </c>
      <c r="C34" s="103"/>
      <c r="D34" s="103">
        <f>0.7%</f>
        <v>0.007</v>
      </c>
      <c r="E34" s="103"/>
      <c r="F34" s="103">
        <f>2.1%</f>
        <v>0.021</v>
      </c>
      <c r="G34" s="103">
        <f>9%</f>
        <v>0.09</v>
      </c>
      <c r="H34" s="103">
        <f>5%+2%</f>
        <v>0.07</v>
      </c>
      <c r="I34" s="103"/>
      <c r="J34" s="103">
        <f>3%</f>
        <v>0.03</v>
      </c>
      <c r="K34" s="95"/>
      <c r="L34" s="97">
        <f t="shared" si="0"/>
        <v>0.23</v>
      </c>
      <c r="M34" s="94"/>
      <c r="N34" s="75"/>
      <c r="O34" s="75"/>
      <c r="P34" s="75"/>
      <c r="Q34" s="75"/>
      <c r="R34" s="95"/>
      <c r="S34" s="95"/>
      <c r="T34" s="95"/>
      <c r="U34" s="96"/>
      <c r="V34" s="97">
        <f t="shared" si="4"/>
        <v>0</v>
      </c>
      <c r="W34" s="97">
        <f t="shared" si="1"/>
        <v>0.23</v>
      </c>
      <c r="X34" s="97">
        <f t="shared" si="2"/>
        <v>0</v>
      </c>
    </row>
    <row r="35" ht="15" customHeight="1" spans="1:24">
      <c r="A35" s="104" t="s">
        <v>530</v>
      </c>
      <c r="B35" s="103">
        <v>0.06</v>
      </c>
      <c r="C35" s="103"/>
      <c r="D35" s="103">
        <f>15%</f>
        <v>0.15</v>
      </c>
      <c r="E35" s="103">
        <f>5%</f>
        <v>0.05</v>
      </c>
      <c r="F35" s="103"/>
      <c r="G35" s="103">
        <f>5%+2.7%</f>
        <v>0.077</v>
      </c>
      <c r="H35" s="103">
        <f>2.2%</f>
        <v>0.022</v>
      </c>
      <c r="I35" s="103">
        <f>0.1%</f>
        <v>0.001</v>
      </c>
      <c r="J35" s="103">
        <f>8%</f>
        <v>0.08</v>
      </c>
      <c r="K35" s="95"/>
      <c r="L35" s="97">
        <f t="shared" si="0"/>
        <v>0.44</v>
      </c>
      <c r="M35" s="94"/>
      <c r="N35" s="75"/>
      <c r="O35" s="75"/>
      <c r="P35" s="75"/>
      <c r="Q35" s="75"/>
      <c r="R35" s="95"/>
      <c r="S35" s="95"/>
      <c r="T35" s="95"/>
      <c r="U35" s="96"/>
      <c r="V35" s="97">
        <f t="shared" si="4"/>
        <v>0</v>
      </c>
      <c r="W35" s="97">
        <f t="shared" si="1"/>
        <v>0.44</v>
      </c>
      <c r="X35" s="97">
        <f t="shared" si="2"/>
        <v>0</v>
      </c>
    </row>
    <row r="36" ht="15" customHeight="1" spans="1:24">
      <c r="A36" s="104" t="s">
        <v>531</v>
      </c>
      <c r="B36" s="91"/>
      <c r="C36" s="91"/>
      <c r="D36" s="91"/>
      <c r="E36" s="91"/>
      <c r="F36" s="91"/>
      <c r="G36" s="103">
        <f>5%+1.5%</f>
        <v>0.065</v>
      </c>
      <c r="H36" s="91"/>
      <c r="I36" s="103">
        <v>0.025</v>
      </c>
      <c r="J36" s="91">
        <f>9%</f>
        <v>0.09</v>
      </c>
      <c r="K36" s="92"/>
      <c r="L36" s="97">
        <f t="shared" si="0"/>
        <v>0.18</v>
      </c>
      <c r="M36" s="94"/>
      <c r="N36" s="75"/>
      <c r="O36" s="75"/>
      <c r="P36" s="75"/>
      <c r="Q36" s="75"/>
      <c r="R36" s="95"/>
      <c r="S36" s="95"/>
      <c r="T36" s="95"/>
      <c r="U36" s="96"/>
      <c r="V36" s="97">
        <f t="shared" si="4"/>
        <v>0</v>
      </c>
      <c r="W36" s="97">
        <f t="shared" si="1"/>
        <v>0.18</v>
      </c>
      <c r="X36" s="97">
        <f t="shared" si="2"/>
        <v>0</v>
      </c>
    </row>
    <row r="37" ht="15" customHeight="1" spans="1:24">
      <c r="A37" s="105" t="s">
        <v>343</v>
      </c>
      <c r="B37" s="40">
        <f>20</f>
        <v>20</v>
      </c>
      <c r="C37" s="40">
        <f>16+20</f>
        <v>36</v>
      </c>
      <c r="D37" s="40">
        <f>15+16</f>
        <v>31</v>
      </c>
      <c r="E37" s="40">
        <f>16</f>
        <v>16</v>
      </c>
      <c r="F37" s="40">
        <f>15+20</f>
        <v>35</v>
      </c>
      <c r="G37" s="40">
        <f>16+5</f>
        <v>21</v>
      </c>
      <c r="H37" s="40">
        <f>10</f>
        <v>10</v>
      </c>
      <c r="I37" s="40"/>
      <c r="J37" s="40">
        <f>35+12</f>
        <v>47</v>
      </c>
      <c r="K37" s="92">
        <f>20+5</f>
        <v>25</v>
      </c>
      <c r="L37" s="93">
        <f t="shared" si="0"/>
        <v>241</v>
      </c>
      <c r="M37" s="94"/>
      <c r="N37" s="75"/>
      <c r="O37" s="75"/>
      <c r="P37" s="75"/>
      <c r="Q37" s="75"/>
      <c r="R37" s="95"/>
      <c r="S37" s="95"/>
      <c r="T37" s="95"/>
      <c r="U37" s="96"/>
      <c r="V37" s="97">
        <f t="shared" si="4"/>
        <v>0</v>
      </c>
      <c r="W37" s="93">
        <f t="shared" si="1"/>
        <v>241</v>
      </c>
      <c r="X37" s="93">
        <f t="shared" si="2"/>
        <v>0</v>
      </c>
    </row>
    <row r="38" ht="15" customHeight="1" spans="1:24">
      <c r="A38" s="106" t="s">
        <v>504</v>
      </c>
      <c r="B38" s="107">
        <v>0.18</v>
      </c>
      <c r="C38" s="107">
        <f>6%</f>
        <v>0.06</v>
      </c>
      <c r="D38" s="107"/>
      <c r="E38" s="107"/>
      <c r="F38" s="107">
        <v>0.05</v>
      </c>
      <c r="G38" s="107">
        <f>2.6%</f>
        <v>0.026</v>
      </c>
      <c r="H38" s="107">
        <f>2.6%+8%</f>
        <v>0.106</v>
      </c>
      <c r="I38" s="107">
        <f>1.3%</f>
        <v>0.013</v>
      </c>
      <c r="J38" s="107">
        <v>0.15</v>
      </c>
      <c r="K38" s="108"/>
      <c r="L38" s="109">
        <f t="shared" si="0"/>
        <v>0.585</v>
      </c>
      <c r="M38" s="110"/>
      <c r="N38" s="107"/>
      <c r="O38" s="107"/>
      <c r="P38" s="107"/>
      <c r="Q38" s="107"/>
      <c r="R38" s="108"/>
      <c r="S38" s="108"/>
      <c r="T38" s="108"/>
      <c r="U38" s="111"/>
      <c r="V38" s="109">
        <f t="shared" si="4"/>
        <v>0</v>
      </c>
      <c r="W38" s="109">
        <f t="shared" si="1"/>
        <v>0.585</v>
      </c>
      <c r="X38" s="109">
        <f t="shared" si="2"/>
        <v>0</v>
      </c>
    </row>
    <row r="39" ht="23.35" customHeight="1"/>
    <row r="40" spans="1:24">
      <c r="B40" s="1"/>
      <c r="C40" s="1"/>
      <c r="D40" s="1"/>
      <c r="E40" s="1"/>
      <c r="G40" s="1"/>
      <c r="H40" s="1"/>
      <c r="I40" s="1"/>
      <c r="J40" s="1"/>
    </row>
    <row r="41" spans="1:24">
      <c r="B41" s="1"/>
      <c r="C41" s="1"/>
      <c r="E41" s="1"/>
      <c r="G41" s="1"/>
    </row>
    <row r="42" spans="1:24">
      <c r="C42" s="1"/>
      <c r="G42" s="1"/>
    </row>
    <row r="43" spans="1:24">
      <c r="G43" s="1"/>
    </row>
    <row r="48" ht="75" customHeight="1"/>
    <row r="129" spans="23:23">
      <c r="W129" s="74">
        <v>0.001</v>
      </c>
    </row>
    <row r="130" spans="23:23">
      <c r="W130" s="74">
        <f>W129*100</f>
        <v>0.1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8080"/>
  </sheetPr>
  <dimension ref="B1:P27"/>
  <sheetViews>
    <sheetView topLeftCell="A17" workbookViewId="0">
      <selection activeCell="E8" sqref="E8:F8"/>
    </sheetView>
  </sheetViews>
  <sheetFormatPr defaultColWidth="9" defaultRowHeight="13.5"/>
  <cols>
    <col min="1" max="1" width="2.5" customWidth="1"/>
    <col min="2" max="6" width="11.25" customWidth="1"/>
    <col min="9" max="9" width="11" customWidth="1"/>
    <col min="13" max="14" width="9.375"/>
  </cols>
  <sheetData>
    <row r="1" ht="15" customHeight="1" spans="2:16">
      <c r="B1" s="1" t="s">
        <v>532</v>
      </c>
      <c r="C1" s="1" t="s">
        <v>533</v>
      </c>
      <c r="K1" s="1" t="s">
        <v>534</v>
      </c>
    </row>
    <row r="2" ht="14.25" spans="2:16">
      <c r="B2" s="1" t="s">
        <v>535</v>
      </c>
    </row>
    <row r="3" ht="27" spans="2:16">
      <c r="B3" s="64" t="s">
        <v>536</v>
      </c>
      <c r="C3" s="65" t="s">
        <v>537</v>
      </c>
      <c r="D3" s="65" t="s">
        <v>538</v>
      </c>
      <c r="E3" s="65" t="s">
        <v>539</v>
      </c>
      <c r="F3" s="66" t="s">
        <v>540</v>
      </c>
      <c r="H3" s="1"/>
      <c r="K3" s="64" t="s">
        <v>536</v>
      </c>
      <c r="L3" s="65" t="s">
        <v>537</v>
      </c>
      <c r="M3" s="65" t="s">
        <v>539</v>
      </c>
      <c r="N3" s="66" t="s">
        <v>540</v>
      </c>
    </row>
    <row r="4" spans="2:16">
      <c r="B4" s="67" t="s">
        <v>151</v>
      </c>
      <c r="C4" s="68">
        <v>0.05</v>
      </c>
      <c r="D4" s="40" t="s">
        <v>541</v>
      </c>
      <c r="E4" s="41">
        <f>C4</f>
        <v>0.05</v>
      </c>
      <c r="F4" s="69"/>
      <c r="H4" s="1"/>
      <c r="I4" s="1"/>
      <c r="K4" s="67" t="s">
        <v>151</v>
      </c>
      <c r="L4" s="68">
        <v>0.07</v>
      </c>
      <c r="M4" s="41">
        <f>L4</f>
        <v>0.07</v>
      </c>
      <c r="N4" s="69"/>
    </row>
    <row r="5" spans="2:16">
      <c r="B5" s="67" t="s">
        <v>232</v>
      </c>
      <c r="C5" s="41">
        <f>1-C4</f>
        <v>0.95</v>
      </c>
      <c r="D5" s="68">
        <v>0.2</v>
      </c>
      <c r="E5" s="41">
        <f>(C5*D5)/4</f>
        <v>0.0475</v>
      </c>
      <c r="F5" s="41">
        <f>(C5*D5)/4*3</f>
        <v>0.1425</v>
      </c>
      <c r="I5" s="1"/>
      <c r="K5" s="67" t="s">
        <v>232</v>
      </c>
      <c r="L5" s="68">
        <v>0.28</v>
      </c>
      <c r="M5" s="41">
        <f>(L5)/4</f>
        <v>0.07</v>
      </c>
      <c r="N5" s="70">
        <f>(L5)/4*3</f>
        <v>0.21</v>
      </c>
    </row>
    <row r="6" ht="14.25" spans="2:16">
      <c r="B6" s="71" t="s">
        <v>235</v>
      </c>
      <c r="C6" s="72" t="s">
        <v>541</v>
      </c>
      <c r="D6" s="72">
        <f>1-D5</f>
        <v>0.8</v>
      </c>
      <c r="E6" s="72">
        <f>(C5*D6)/16</f>
        <v>0.0475</v>
      </c>
      <c r="F6" s="73">
        <f>(C5*D6)/16*15</f>
        <v>0.7125</v>
      </c>
      <c r="J6" s="1"/>
      <c r="K6" s="71" t="s">
        <v>235</v>
      </c>
      <c r="L6" s="72">
        <f>1-L4-L5</f>
        <v>0.65</v>
      </c>
      <c r="M6" s="72">
        <f>(L6)/16</f>
        <v>0.040625</v>
      </c>
      <c r="N6" s="73">
        <f>(L6)/16*15</f>
        <v>0.609375</v>
      </c>
    </row>
    <row r="7" spans="2:16">
      <c r="D7" s="74"/>
    </row>
    <row r="8" spans="2:16">
      <c r="E8" s="75">
        <f>SUM(E4:E6)</f>
        <v>0.145</v>
      </c>
      <c r="F8" s="75">
        <f>SUM(F4:F6)</f>
        <v>0.855</v>
      </c>
      <c r="M8" s="41">
        <f>SUM(M4:M6)</f>
        <v>0.180625</v>
      </c>
      <c r="N8" s="41">
        <f>SUM(N5:N6)</f>
        <v>0.819375</v>
      </c>
    </row>
    <row r="10" ht="14.25" spans="2:16">
      <c r="B10" s="1" t="s">
        <v>542</v>
      </c>
      <c r="P10" s="74"/>
    </row>
    <row r="11" spans="2:16">
      <c r="B11" s="64" t="s">
        <v>536</v>
      </c>
      <c r="C11" s="65" t="s">
        <v>537</v>
      </c>
      <c r="D11" s="65" t="s">
        <v>538</v>
      </c>
      <c r="E11" s="65" t="s">
        <v>539</v>
      </c>
      <c r="F11" s="66" t="s">
        <v>540</v>
      </c>
      <c r="H11" s="1"/>
    </row>
    <row r="12" spans="2:16">
      <c r="B12" s="67" t="s">
        <v>151</v>
      </c>
      <c r="C12" s="68">
        <v>0.3</v>
      </c>
      <c r="D12" s="40" t="s">
        <v>541</v>
      </c>
      <c r="E12" s="41">
        <f>C12</f>
        <v>0.3</v>
      </c>
      <c r="F12" s="69"/>
    </row>
    <row r="13" spans="2:16">
      <c r="B13" s="67" t="s">
        <v>232</v>
      </c>
      <c r="C13" s="41">
        <f>1-C12</f>
        <v>0.7</v>
      </c>
      <c r="D13" s="68">
        <v>0.3</v>
      </c>
      <c r="E13" s="41">
        <f>(C13*D13)/4</f>
        <v>0.0525</v>
      </c>
      <c r="F13" s="41">
        <f>(C13*D13)/4*3</f>
        <v>0.1575</v>
      </c>
    </row>
    <row r="14" ht="14.25" spans="2:16">
      <c r="B14" s="71" t="s">
        <v>235</v>
      </c>
      <c r="C14" s="72" t="s">
        <v>541</v>
      </c>
      <c r="D14" s="72">
        <f>1-D13</f>
        <v>0.7</v>
      </c>
      <c r="E14" s="72">
        <f>(C13*D14)/16</f>
        <v>0.030625</v>
      </c>
      <c r="F14" s="73">
        <f>(C13*D14)/16*15</f>
        <v>0.459375</v>
      </c>
    </row>
    <row r="15" spans="2:16">
      <c r="D15" s="74"/>
      <c r="E15" s="74"/>
      <c r="F15" s="74"/>
    </row>
    <row r="18" ht="14.25" spans="2:6">
      <c r="B18" s="1" t="s">
        <v>543</v>
      </c>
      <c r="D18" s="74"/>
      <c r="E18" s="74"/>
      <c r="F18" s="74"/>
    </row>
    <row r="19" spans="2:6">
      <c r="B19" s="64" t="s">
        <v>536</v>
      </c>
      <c r="C19" s="65" t="s">
        <v>537</v>
      </c>
      <c r="D19" s="65" t="s">
        <v>538</v>
      </c>
      <c r="E19" s="65" t="s">
        <v>539</v>
      </c>
      <c r="F19" s="66" t="s">
        <v>540</v>
      </c>
    </row>
    <row r="20" spans="2:6">
      <c r="B20" s="67" t="s">
        <v>151</v>
      </c>
      <c r="C20" s="68">
        <v>0.01</v>
      </c>
      <c r="D20" s="40" t="s">
        <v>541</v>
      </c>
      <c r="E20" s="41">
        <f>C20</f>
        <v>0.01</v>
      </c>
      <c r="F20" s="69"/>
    </row>
    <row r="21" spans="2:6">
      <c r="B21" s="67" t="s">
        <v>232</v>
      </c>
      <c r="C21" s="41">
        <f>1-C20</f>
        <v>0.99</v>
      </c>
      <c r="D21" s="68">
        <v>0.03</v>
      </c>
      <c r="E21" s="41">
        <f>(C21*D21)/4</f>
        <v>0.007425</v>
      </c>
      <c r="F21" s="41">
        <f>(C21*D21)/4*3</f>
        <v>0.022275</v>
      </c>
    </row>
    <row r="22" ht="14.25" spans="2:6">
      <c r="B22" s="71" t="s">
        <v>235</v>
      </c>
      <c r="C22" s="72" t="s">
        <v>541</v>
      </c>
      <c r="D22" s="72">
        <f>1-D21</f>
        <v>0.97</v>
      </c>
      <c r="E22" s="72">
        <f>(C21*D22)/16</f>
        <v>0.06001875</v>
      </c>
      <c r="F22" s="73">
        <f>(C21*D22)/16*15</f>
        <v>0.90028125</v>
      </c>
    </row>
    <row r="27" spans="2:6">
      <c r="D27" s="74"/>
      <c r="E27" s="74"/>
      <c r="F27" s="7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8080"/>
  </sheetPr>
  <dimension ref="A2:AD34"/>
  <sheetViews>
    <sheetView topLeftCell="A23" workbookViewId="0">
      <pane xSplit="2" topLeftCell="D1" activePane="topRight" state="frozen"/>
      <selection/>
      <selection pane="topRight" activeCell="D23" sqref="D23:D24"/>
    </sheetView>
  </sheetViews>
  <sheetFormatPr defaultColWidth="9" defaultRowHeight="13.5"/>
  <cols>
    <col min="2" max="2" width="16.375" customWidth="1"/>
    <col min="4" max="5" width="10.875" customWidth="1"/>
    <col min="6" max="6" width="15" customWidth="1"/>
    <col min="7" max="8" width="10.875" customWidth="1"/>
    <col min="11" max="11" width="6.125" customWidth="1"/>
    <col min="12" max="19" width="6.875" customWidth="1"/>
    <col min="20" max="25" width="7.125" customWidth="1"/>
    <col min="26" max="29" width="8.375" customWidth="1"/>
    <col min="30" max="30" width="7.875" customWidth="1"/>
  </cols>
  <sheetData>
    <row r="2" spans="1:30">
      <c r="A2" s="46" t="s">
        <v>544</v>
      </c>
      <c r="B2" s="46" t="s">
        <v>418</v>
      </c>
      <c r="C2" s="47" t="s">
        <v>419</v>
      </c>
      <c r="D2" s="48" t="s">
        <v>420</v>
      </c>
      <c r="E2" s="49" t="s">
        <v>421</v>
      </c>
      <c r="F2" s="49" t="s">
        <v>422</v>
      </c>
      <c r="G2" s="49" t="s">
        <v>423</v>
      </c>
      <c r="H2" s="50" t="s">
        <v>424</v>
      </c>
      <c r="I2" s="49" t="s">
        <v>425</v>
      </c>
      <c r="J2" s="49" t="s">
        <v>426</v>
      </c>
      <c r="K2" s="49" t="s">
        <v>427</v>
      </c>
      <c r="L2" s="49" t="s">
        <v>428</v>
      </c>
      <c r="M2" s="49" t="s">
        <v>429</v>
      </c>
      <c r="N2" s="49" t="s">
        <v>430</v>
      </c>
      <c r="O2" s="49" t="s">
        <v>431</v>
      </c>
      <c r="P2" s="49" t="s">
        <v>432</v>
      </c>
      <c r="Q2" s="49" t="s">
        <v>433</v>
      </c>
      <c r="R2" s="49" t="s">
        <v>434</v>
      </c>
      <c r="S2" s="49" t="s">
        <v>435</v>
      </c>
      <c r="T2" s="49" t="s">
        <v>436</v>
      </c>
      <c r="U2" s="49" t="s">
        <v>437</v>
      </c>
      <c r="V2" s="49" t="s">
        <v>438</v>
      </c>
      <c r="W2" s="51" t="s">
        <v>439</v>
      </c>
      <c r="X2" s="51" t="s">
        <v>440</v>
      </c>
      <c r="Y2" s="51" t="s">
        <v>441</v>
      </c>
      <c r="Z2" s="51" t="s">
        <v>442</v>
      </c>
      <c r="AA2" s="51" t="s">
        <v>443</v>
      </c>
      <c r="AB2" s="49" t="s">
        <v>444</v>
      </c>
      <c r="AC2" s="49" t="s">
        <v>445</v>
      </c>
      <c r="AD2" s="49" t="s">
        <v>446</v>
      </c>
    </row>
    <row r="3" ht="14.25" spans="1:30">
      <c r="A3" s="39" t="s">
        <v>334</v>
      </c>
      <c r="B3" s="52" t="s">
        <v>545</v>
      </c>
      <c r="C3" s="53">
        <v>53</v>
      </c>
      <c r="D3" s="54">
        <f t="shared" ref="D3:D17" si="0">F3/I3</f>
        <v>10.6</v>
      </c>
      <c r="E3" s="55">
        <f t="shared" ref="E3:E17" si="1">D3</f>
        <v>10.6</v>
      </c>
      <c r="F3" s="55">
        <f t="shared" ref="F3:F17" si="2">C3*H3</f>
        <v>1060</v>
      </c>
      <c r="G3" s="49"/>
      <c r="H3" s="56">
        <v>20</v>
      </c>
      <c r="I3" s="55">
        <v>100</v>
      </c>
      <c r="J3" s="55">
        <f>F3</f>
        <v>1060</v>
      </c>
      <c r="K3" s="55">
        <f>$J3*K$18</f>
        <v>1070.6</v>
      </c>
      <c r="L3" s="55">
        <f t="shared" ref="L3:AD3" si="3">$J3*L$18</f>
        <v>1083.22595109068</v>
      </c>
      <c r="M3" s="55">
        <f t="shared" si="3"/>
        <v>1098.29607706523</v>
      </c>
      <c r="N3" s="55">
        <f t="shared" si="3"/>
        <v>1116.32724355413</v>
      </c>
      <c r="O3" s="55">
        <f t="shared" si="3"/>
        <v>1137.96305599132</v>
      </c>
      <c r="P3" s="55">
        <f t="shared" si="3"/>
        <v>1164.01182469721</v>
      </c>
      <c r="Q3" s="55">
        <f t="shared" si="3"/>
        <v>1195.4985888504</v>
      </c>
      <c r="R3" s="55">
        <f t="shared" si="3"/>
        <v>1233.7374857852</v>
      </c>
      <c r="S3" s="55">
        <f t="shared" si="3"/>
        <v>1280.43405673867</v>
      </c>
      <c r="T3" s="55">
        <f t="shared" si="3"/>
        <v>1337.832396046</v>
      </c>
      <c r="U3" s="55">
        <f t="shared" si="3"/>
        <v>1408.93078346977</v>
      </c>
      <c r="V3" s="55">
        <f t="shared" si="3"/>
        <v>1497.80411585912</v>
      </c>
      <c r="W3" s="57">
        <f t="shared" si="3"/>
        <v>1610.09673900709</v>
      </c>
      <c r="X3" s="57">
        <f t="shared" si="3"/>
        <v>1753.79403200838</v>
      </c>
      <c r="Y3" s="57">
        <f t="shared" si="3"/>
        <v>1940.46266860224</v>
      </c>
      <c r="Z3" s="57">
        <f t="shared" si="3"/>
        <v>2187.30303653229</v>
      </c>
      <c r="AA3" s="57">
        <f t="shared" si="3"/>
        <v>2520.6567644657</v>
      </c>
      <c r="AB3" s="55">
        <f t="shared" si="3"/>
        <v>2982.21952449205</v>
      </c>
      <c r="AC3" s="55">
        <f t="shared" si="3"/>
        <v>3640.49464830552</v>
      </c>
      <c r="AD3" s="55">
        <f t="shared" si="3"/>
        <v>4612.87703937106</v>
      </c>
    </row>
    <row r="4" ht="14.25" spans="1:30">
      <c r="A4" s="39" t="s">
        <v>334</v>
      </c>
      <c r="B4" s="56" t="s">
        <v>337</v>
      </c>
      <c r="C4" s="58">
        <v>50</v>
      </c>
      <c r="D4" s="59">
        <f t="shared" si="0"/>
        <v>0.01</v>
      </c>
      <c r="E4" s="59">
        <f t="shared" si="1"/>
        <v>0.01</v>
      </c>
      <c r="F4" s="59">
        <f t="shared" si="2"/>
        <v>1</v>
      </c>
      <c r="G4" s="49"/>
      <c r="H4" s="56">
        <v>0.02</v>
      </c>
      <c r="I4" s="55">
        <v>100</v>
      </c>
      <c r="J4" s="60">
        <f>F4</f>
        <v>1</v>
      </c>
      <c r="K4" s="55">
        <f t="shared" ref="K4:K17" si="4">$J4*K$18</f>
        <v>1.01</v>
      </c>
      <c r="L4" s="55">
        <f t="shared" ref="L4:AD4" si="5">$J4*L$18</f>
        <v>1.02191127461385</v>
      </c>
      <c r="M4" s="55">
        <f t="shared" si="5"/>
        <v>1.03612837458984</v>
      </c>
      <c r="N4" s="55">
        <f t="shared" si="5"/>
        <v>1.05313890901333</v>
      </c>
      <c r="O4" s="55">
        <f t="shared" si="5"/>
        <v>1.073550052822</v>
      </c>
      <c r="P4" s="55">
        <f t="shared" si="5"/>
        <v>1.0981243629219</v>
      </c>
      <c r="Q4" s="55">
        <f t="shared" si="5"/>
        <v>1.12782885740604</v>
      </c>
      <c r="R4" s="55">
        <f t="shared" si="5"/>
        <v>1.1639032884766</v>
      </c>
      <c r="S4" s="55">
        <f t="shared" si="5"/>
        <v>1.20795665730063</v>
      </c>
      <c r="T4" s="55">
        <f t="shared" si="5"/>
        <v>1.26210603400566</v>
      </c>
      <c r="U4" s="55">
        <f t="shared" si="5"/>
        <v>1.32917998440544</v>
      </c>
      <c r="V4" s="55">
        <f t="shared" si="5"/>
        <v>1.41302275081049</v>
      </c>
      <c r="W4" s="57">
        <f t="shared" si="5"/>
        <v>1.51895918774254</v>
      </c>
      <c r="X4" s="57">
        <f t="shared" si="5"/>
        <v>1.65452267170602</v>
      </c>
      <c r="Y4" s="57">
        <f t="shared" si="5"/>
        <v>1.83062515905872</v>
      </c>
      <c r="Z4" s="57">
        <f t="shared" si="5"/>
        <v>2.06349343069084</v>
      </c>
      <c r="AA4" s="57">
        <f t="shared" si="5"/>
        <v>2.37797807968462</v>
      </c>
      <c r="AB4" s="55">
        <f t="shared" si="5"/>
        <v>2.81341464574722</v>
      </c>
      <c r="AC4" s="55">
        <f t="shared" si="5"/>
        <v>3.43442891349577</v>
      </c>
      <c r="AD4" s="55">
        <f t="shared" si="5"/>
        <v>4.35177079185949</v>
      </c>
    </row>
    <row r="5" ht="14.25" spans="1:30">
      <c r="A5" s="39" t="s">
        <v>334</v>
      </c>
      <c r="B5" s="52" t="s">
        <v>546</v>
      </c>
      <c r="C5" s="58">
        <v>50</v>
      </c>
      <c r="D5" s="59">
        <f t="shared" si="0"/>
        <v>0.001</v>
      </c>
      <c r="E5" s="59">
        <f t="shared" si="1"/>
        <v>0.001</v>
      </c>
      <c r="F5" s="59">
        <f t="shared" si="2"/>
        <v>0.1</v>
      </c>
      <c r="G5" s="49"/>
      <c r="H5" s="56">
        <v>0.002</v>
      </c>
      <c r="I5" s="55">
        <v>100</v>
      </c>
      <c r="J5" s="60">
        <f>F5</f>
        <v>0.1</v>
      </c>
      <c r="K5" s="55">
        <f t="shared" si="4"/>
        <v>0.101</v>
      </c>
      <c r="L5" s="55">
        <f t="shared" ref="L5:AD5" si="6">$J5*L$18</f>
        <v>0.102191127461385</v>
      </c>
      <c r="M5" s="55">
        <f t="shared" si="6"/>
        <v>0.103612837458984</v>
      </c>
      <c r="N5" s="55">
        <f t="shared" si="6"/>
        <v>0.105313890901333</v>
      </c>
      <c r="O5" s="55">
        <f t="shared" si="6"/>
        <v>0.1073550052822</v>
      </c>
      <c r="P5" s="55">
        <f t="shared" si="6"/>
        <v>0.10981243629219</v>
      </c>
      <c r="Q5" s="55">
        <f t="shared" si="6"/>
        <v>0.112782885740604</v>
      </c>
      <c r="R5" s="55">
        <f t="shared" si="6"/>
        <v>0.11639032884766</v>
      </c>
      <c r="S5" s="55">
        <f t="shared" si="6"/>
        <v>0.120795665730063</v>
      </c>
      <c r="T5" s="55">
        <f t="shared" si="6"/>
        <v>0.126210603400566</v>
      </c>
      <c r="U5" s="55">
        <f t="shared" si="6"/>
        <v>0.132917998440544</v>
      </c>
      <c r="V5" s="55">
        <f t="shared" si="6"/>
        <v>0.141302275081049</v>
      </c>
      <c r="W5" s="57">
        <f t="shared" si="6"/>
        <v>0.151895918774254</v>
      </c>
      <c r="X5" s="57">
        <f t="shared" si="6"/>
        <v>0.165452267170602</v>
      </c>
      <c r="Y5" s="57">
        <f t="shared" si="6"/>
        <v>0.183062515905872</v>
      </c>
      <c r="Z5" s="57">
        <f t="shared" si="6"/>
        <v>0.206349343069084</v>
      </c>
      <c r="AA5" s="57">
        <f t="shared" si="6"/>
        <v>0.237797807968462</v>
      </c>
      <c r="AB5" s="55">
        <f t="shared" si="6"/>
        <v>0.281341464574722</v>
      </c>
      <c r="AC5" s="55">
        <f t="shared" si="6"/>
        <v>0.343442891349577</v>
      </c>
      <c r="AD5" s="55">
        <f t="shared" si="6"/>
        <v>0.43517707918595</v>
      </c>
    </row>
    <row r="6" ht="14.25" spans="1:30">
      <c r="A6" s="39" t="s">
        <v>334</v>
      </c>
      <c r="B6" s="56" t="s">
        <v>504</v>
      </c>
      <c r="C6" s="58">
        <v>50</v>
      </c>
      <c r="D6" s="59">
        <f t="shared" si="0"/>
        <v>0.001</v>
      </c>
      <c r="E6" s="59">
        <f t="shared" si="1"/>
        <v>0.001</v>
      </c>
      <c r="F6" s="59">
        <f t="shared" si="2"/>
        <v>0.1</v>
      </c>
      <c r="G6" s="49"/>
      <c r="H6" s="56">
        <v>0.002</v>
      </c>
      <c r="I6" s="55">
        <v>100</v>
      </c>
      <c r="J6" s="60">
        <f>F6</f>
        <v>0.1</v>
      </c>
      <c r="K6" s="55">
        <f t="shared" si="4"/>
        <v>0.101</v>
      </c>
      <c r="L6" s="55">
        <f t="shared" ref="L6:AD6" si="7">$J6*L$18</f>
        <v>0.102191127461385</v>
      </c>
      <c r="M6" s="55">
        <f t="shared" si="7"/>
        <v>0.103612837458984</v>
      </c>
      <c r="N6" s="55">
        <f t="shared" si="7"/>
        <v>0.105313890901333</v>
      </c>
      <c r="O6" s="55">
        <f t="shared" si="7"/>
        <v>0.1073550052822</v>
      </c>
      <c r="P6" s="55">
        <f t="shared" si="7"/>
        <v>0.10981243629219</v>
      </c>
      <c r="Q6" s="55">
        <f t="shared" si="7"/>
        <v>0.112782885740604</v>
      </c>
      <c r="R6" s="55">
        <f t="shared" si="7"/>
        <v>0.11639032884766</v>
      </c>
      <c r="S6" s="55">
        <f t="shared" si="7"/>
        <v>0.120795665730063</v>
      </c>
      <c r="T6" s="55">
        <f t="shared" si="7"/>
        <v>0.126210603400566</v>
      </c>
      <c r="U6" s="55">
        <f t="shared" si="7"/>
        <v>0.132917998440544</v>
      </c>
      <c r="V6" s="55">
        <f t="shared" si="7"/>
        <v>0.141302275081049</v>
      </c>
      <c r="W6" s="57">
        <f t="shared" si="7"/>
        <v>0.151895918774254</v>
      </c>
      <c r="X6" s="57">
        <f t="shared" si="7"/>
        <v>0.165452267170602</v>
      </c>
      <c r="Y6" s="57">
        <f t="shared" si="7"/>
        <v>0.183062515905872</v>
      </c>
      <c r="Z6" s="57">
        <f t="shared" si="7"/>
        <v>0.206349343069084</v>
      </c>
      <c r="AA6" s="57">
        <f t="shared" si="7"/>
        <v>0.237797807968462</v>
      </c>
      <c r="AB6" s="55">
        <f t="shared" si="7"/>
        <v>0.281341464574722</v>
      </c>
      <c r="AC6" s="55">
        <f t="shared" si="7"/>
        <v>0.343442891349577</v>
      </c>
      <c r="AD6" s="55">
        <f t="shared" si="7"/>
        <v>0.43517707918595</v>
      </c>
    </row>
    <row r="7" ht="14.25" spans="1:30">
      <c r="A7" s="39" t="s">
        <v>67</v>
      </c>
      <c r="B7" s="56" t="s">
        <v>401</v>
      </c>
      <c r="C7" s="58">
        <v>50</v>
      </c>
      <c r="D7" s="55">
        <f t="shared" si="0"/>
        <v>4</v>
      </c>
      <c r="E7" s="55">
        <f t="shared" si="1"/>
        <v>4</v>
      </c>
      <c r="F7" s="55">
        <f t="shared" si="2"/>
        <v>400</v>
      </c>
      <c r="G7" s="49"/>
      <c r="H7" s="56">
        <v>8</v>
      </c>
      <c r="I7" s="55">
        <v>100</v>
      </c>
      <c r="J7" s="55">
        <f>F7*3</f>
        <v>1200</v>
      </c>
      <c r="K7" s="55">
        <f t="shared" si="4"/>
        <v>1212</v>
      </c>
      <c r="L7" s="55">
        <f t="shared" ref="L7:AD7" si="8">$J7*L$18</f>
        <v>1226.29352953662</v>
      </c>
      <c r="M7" s="55">
        <f t="shared" si="8"/>
        <v>1243.35404950781</v>
      </c>
      <c r="N7" s="55">
        <f t="shared" si="8"/>
        <v>1263.76669081599</v>
      </c>
      <c r="O7" s="55">
        <f t="shared" si="8"/>
        <v>1288.2600633864</v>
      </c>
      <c r="P7" s="55">
        <f t="shared" si="8"/>
        <v>1317.74923550628</v>
      </c>
      <c r="Q7" s="55">
        <f t="shared" si="8"/>
        <v>1353.39462888724</v>
      </c>
      <c r="R7" s="55">
        <f t="shared" si="8"/>
        <v>1396.68394617192</v>
      </c>
      <c r="S7" s="55">
        <f t="shared" si="8"/>
        <v>1449.54798876075</v>
      </c>
      <c r="T7" s="55">
        <f t="shared" si="8"/>
        <v>1514.52724080679</v>
      </c>
      <c r="U7" s="55">
        <f t="shared" si="8"/>
        <v>1595.01598128653</v>
      </c>
      <c r="V7" s="55">
        <f t="shared" si="8"/>
        <v>1695.62730097259</v>
      </c>
      <c r="W7" s="57">
        <f t="shared" si="8"/>
        <v>1822.75102529105</v>
      </c>
      <c r="X7" s="57">
        <f t="shared" si="8"/>
        <v>1985.42720604722</v>
      </c>
      <c r="Y7" s="57">
        <f t="shared" si="8"/>
        <v>2196.75019087047</v>
      </c>
      <c r="Z7" s="57">
        <f t="shared" si="8"/>
        <v>2476.192116829</v>
      </c>
      <c r="AA7" s="57">
        <f t="shared" si="8"/>
        <v>2853.57369562155</v>
      </c>
      <c r="AB7" s="55">
        <f t="shared" si="8"/>
        <v>3376.09757489666</v>
      </c>
      <c r="AC7" s="55">
        <f t="shared" si="8"/>
        <v>4121.31469619493</v>
      </c>
      <c r="AD7" s="55">
        <f t="shared" si="8"/>
        <v>5222.12495023139</v>
      </c>
    </row>
    <row r="8" ht="14.25" spans="1:30">
      <c r="A8" s="39" t="s">
        <v>67</v>
      </c>
      <c r="B8" s="56" t="s">
        <v>407</v>
      </c>
      <c r="C8" s="58">
        <v>50</v>
      </c>
      <c r="D8" s="55">
        <f t="shared" si="0"/>
        <v>2.5</v>
      </c>
      <c r="E8" s="55">
        <f t="shared" si="1"/>
        <v>2.5</v>
      </c>
      <c r="F8" s="55">
        <f t="shared" si="2"/>
        <v>250</v>
      </c>
      <c r="G8" s="49"/>
      <c r="H8" s="56">
        <v>5</v>
      </c>
      <c r="I8" s="55">
        <v>100</v>
      </c>
      <c r="J8" s="55">
        <f>F8*3</f>
        <v>750</v>
      </c>
      <c r="K8" s="55">
        <f t="shared" si="4"/>
        <v>757.5</v>
      </c>
      <c r="L8" s="55">
        <f t="shared" ref="L8:AD8" si="9">$J8*L$18</f>
        <v>766.433455960386</v>
      </c>
      <c r="M8" s="55">
        <f t="shared" si="9"/>
        <v>777.096280942379</v>
      </c>
      <c r="N8" s="55">
        <f t="shared" si="9"/>
        <v>789.854181759996</v>
      </c>
      <c r="O8" s="55">
        <f t="shared" si="9"/>
        <v>805.1625396165</v>
      </c>
      <c r="P8" s="55">
        <f t="shared" si="9"/>
        <v>823.593272191428</v>
      </c>
      <c r="Q8" s="55">
        <f t="shared" si="9"/>
        <v>845.871643054528</v>
      </c>
      <c r="R8" s="55">
        <f t="shared" si="9"/>
        <v>872.927466357449</v>
      </c>
      <c r="S8" s="55">
        <f t="shared" si="9"/>
        <v>905.967492975471</v>
      </c>
      <c r="T8" s="55">
        <f t="shared" si="9"/>
        <v>946.579525504246</v>
      </c>
      <c r="U8" s="55">
        <f t="shared" si="9"/>
        <v>996.884988304082</v>
      </c>
      <c r="V8" s="55">
        <f t="shared" si="9"/>
        <v>1059.76706310787</v>
      </c>
      <c r="W8" s="57">
        <f t="shared" si="9"/>
        <v>1139.21939080691</v>
      </c>
      <c r="X8" s="57">
        <f t="shared" si="9"/>
        <v>1240.89200377951</v>
      </c>
      <c r="Y8" s="57">
        <f t="shared" si="9"/>
        <v>1372.96886929404</v>
      </c>
      <c r="Z8" s="57">
        <f t="shared" si="9"/>
        <v>1547.62007301813</v>
      </c>
      <c r="AA8" s="57">
        <f t="shared" si="9"/>
        <v>1783.48355976347</v>
      </c>
      <c r="AB8" s="55">
        <f t="shared" si="9"/>
        <v>2110.06098431041</v>
      </c>
      <c r="AC8" s="55">
        <f t="shared" si="9"/>
        <v>2575.82168512183</v>
      </c>
      <c r="AD8" s="55">
        <f t="shared" si="9"/>
        <v>3263.82809389462</v>
      </c>
    </row>
    <row r="9" ht="14.25" spans="1:30">
      <c r="A9" s="39" t="s">
        <v>67</v>
      </c>
      <c r="B9" s="56" t="s">
        <v>343</v>
      </c>
      <c r="C9" s="58">
        <v>50</v>
      </c>
      <c r="D9" s="55">
        <f t="shared" si="0"/>
        <v>0.25</v>
      </c>
      <c r="E9" s="55">
        <f t="shared" si="1"/>
        <v>0.25</v>
      </c>
      <c r="F9" s="55">
        <f t="shared" si="2"/>
        <v>25</v>
      </c>
      <c r="G9" s="49"/>
      <c r="H9" s="56">
        <v>0.5</v>
      </c>
      <c r="I9" s="55">
        <v>100</v>
      </c>
      <c r="J9" s="55">
        <f>F9*3</f>
        <v>75</v>
      </c>
      <c r="K9" s="55">
        <f t="shared" si="4"/>
        <v>75.75</v>
      </c>
      <c r="L9" s="55">
        <f t="shared" ref="L9:AD9" si="10">$J9*L$18</f>
        <v>76.6433455960386</v>
      </c>
      <c r="M9" s="55">
        <f t="shared" si="10"/>
        <v>77.7096280942379</v>
      </c>
      <c r="N9" s="55">
        <f t="shared" si="10"/>
        <v>78.9854181759996</v>
      </c>
      <c r="O9" s="55">
        <f t="shared" si="10"/>
        <v>80.51625396165</v>
      </c>
      <c r="P9" s="55">
        <f t="shared" si="10"/>
        <v>82.3593272191428</v>
      </c>
      <c r="Q9" s="55">
        <f t="shared" si="10"/>
        <v>84.5871643054528</v>
      </c>
      <c r="R9" s="55">
        <f t="shared" si="10"/>
        <v>87.2927466357449</v>
      </c>
      <c r="S9" s="55">
        <f t="shared" si="10"/>
        <v>90.5967492975471</v>
      </c>
      <c r="T9" s="55">
        <f t="shared" si="10"/>
        <v>94.6579525504246</v>
      </c>
      <c r="U9" s="55">
        <f t="shared" si="10"/>
        <v>99.6884988304082</v>
      </c>
      <c r="V9" s="55">
        <f t="shared" si="10"/>
        <v>105.976706310787</v>
      </c>
      <c r="W9" s="57">
        <f t="shared" si="10"/>
        <v>113.921939080691</v>
      </c>
      <c r="X9" s="57">
        <f t="shared" si="10"/>
        <v>124.089200377951</v>
      </c>
      <c r="Y9" s="57">
        <f t="shared" si="10"/>
        <v>137.296886929404</v>
      </c>
      <c r="Z9" s="57">
        <f t="shared" si="10"/>
        <v>154.762007301813</v>
      </c>
      <c r="AA9" s="57">
        <f t="shared" si="10"/>
        <v>178.348355976347</v>
      </c>
      <c r="AB9" s="55">
        <f t="shared" si="10"/>
        <v>211.006098431041</v>
      </c>
      <c r="AC9" s="55">
        <f t="shared" si="10"/>
        <v>257.582168512183</v>
      </c>
      <c r="AD9" s="55">
        <f t="shared" si="10"/>
        <v>326.382809389462</v>
      </c>
    </row>
    <row r="10" ht="14.25" spans="1:30">
      <c r="A10" s="39" t="s">
        <v>67</v>
      </c>
      <c r="B10" s="56" t="s">
        <v>345</v>
      </c>
      <c r="C10" s="58">
        <v>50</v>
      </c>
      <c r="D10" s="55">
        <f t="shared" si="0"/>
        <v>0.25</v>
      </c>
      <c r="E10" s="55">
        <f t="shared" si="1"/>
        <v>0.25</v>
      </c>
      <c r="F10" s="55">
        <f t="shared" si="2"/>
        <v>25</v>
      </c>
      <c r="G10" s="49"/>
      <c r="H10" s="56">
        <v>0.5</v>
      </c>
      <c r="I10" s="55">
        <v>100</v>
      </c>
      <c r="J10" s="55">
        <f>F10*3</f>
        <v>75</v>
      </c>
      <c r="K10" s="55">
        <f t="shared" si="4"/>
        <v>75.75</v>
      </c>
      <c r="L10" s="55">
        <f t="shared" ref="L10:AD10" si="11">$J10*L$18</f>
        <v>76.6433455960386</v>
      </c>
      <c r="M10" s="55">
        <f t="shared" si="11"/>
        <v>77.7096280942379</v>
      </c>
      <c r="N10" s="55">
        <f t="shared" si="11"/>
        <v>78.9854181759996</v>
      </c>
      <c r="O10" s="55">
        <f t="shared" si="11"/>
        <v>80.51625396165</v>
      </c>
      <c r="P10" s="55">
        <f t="shared" si="11"/>
        <v>82.3593272191428</v>
      </c>
      <c r="Q10" s="55">
        <f t="shared" si="11"/>
        <v>84.5871643054528</v>
      </c>
      <c r="R10" s="55">
        <f t="shared" si="11"/>
        <v>87.2927466357449</v>
      </c>
      <c r="S10" s="55">
        <f t="shared" si="11"/>
        <v>90.5967492975471</v>
      </c>
      <c r="T10" s="55">
        <f t="shared" si="11"/>
        <v>94.6579525504246</v>
      </c>
      <c r="U10" s="55">
        <f t="shared" si="11"/>
        <v>99.6884988304082</v>
      </c>
      <c r="V10" s="55">
        <f t="shared" si="11"/>
        <v>105.976706310787</v>
      </c>
      <c r="W10" s="57">
        <f t="shared" si="11"/>
        <v>113.921939080691</v>
      </c>
      <c r="X10" s="57">
        <f t="shared" si="11"/>
        <v>124.089200377951</v>
      </c>
      <c r="Y10" s="57">
        <f t="shared" si="11"/>
        <v>137.296886929404</v>
      </c>
      <c r="Z10" s="57">
        <f t="shared" si="11"/>
        <v>154.762007301813</v>
      </c>
      <c r="AA10" s="57">
        <f t="shared" si="11"/>
        <v>178.348355976347</v>
      </c>
      <c r="AB10" s="55">
        <f t="shared" si="11"/>
        <v>211.006098431041</v>
      </c>
      <c r="AC10" s="55">
        <f t="shared" si="11"/>
        <v>257.582168512183</v>
      </c>
      <c r="AD10" s="55">
        <f t="shared" si="11"/>
        <v>326.382809389462</v>
      </c>
    </row>
    <row r="11" ht="14.25" spans="1:30">
      <c r="A11" s="39" t="s">
        <v>59</v>
      </c>
      <c r="B11" s="56" t="s">
        <v>385</v>
      </c>
      <c r="C11" s="58">
        <v>50</v>
      </c>
      <c r="D11" s="55">
        <f t="shared" si="0"/>
        <v>10</v>
      </c>
      <c r="E11" s="55">
        <f t="shared" si="1"/>
        <v>10</v>
      </c>
      <c r="F11" s="55">
        <f t="shared" si="2"/>
        <v>1000</v>
      </c>
      <c r="G11" s="49"/>
      <c r="H11" s="56">
        <v>20</v>
      </c>
      <c r="I11" s="55">
        <v>100</v>
      </c>
      <c r="J11" s="55">
        <f>F11*5</f>
        <v>5000</v>
      </c>
      <c r="K11" s="55">
        <f t="shared" si="4"/>
        <v>5050</v>
      </c>
      <c r="L11" s="55">
        <f t="shared" ref="L11:AD11" si="12">$J11*L$18</f>
        <v>5109.55637306924</v>
      </c>
      <c r="M11" s="55">
        <f t="shared" si="12"/>
        <v>5180.64187294919</v>
      </c>
      <c r="N11" s="55">
        <f t="shared" si="12"/>
        <v>5265.69454506664</v>
      </c>
      <c r="O11" s="55">
        <f t="shared" si="12"/>
        <v>5367.75026411</v>
      </c>
      <c r="P11" s="55">
        <f t="shared" si="12"/>
        <v>5490.62181460952</v>
      </c>
      <c r="Q11" s="55">
        <f t="shared" si="12"/>
        <v>5639.14428703019</v>
      </c>
      <c r="R11" s="55">
        <f t="shared" si="12"/>
        <v>5819.516442383</v>
      </c>
      <c r="S11" s="55">
        <f t="shared" si="12"/>
        <v>6039.78328650314</v>
      </c>
      <c r="T11" s="55">
        <f t="shared" si="12"/>
        <v>6310.5301700283</v>
      </c>
      <c r="U11" s="55">
        <f t="shared" si="12"/>
        <v>6645.89992202721</v>
      </c>
      <c r="V11" s="55">
        <f t="shared" si="12"/>
        <v>7065.11375405247</v>
      </c>
      <c r="W11" s="57">
        <f t="shared" si="12"/>
        <v>7594.79593871271</v>
      </c>
      <c r="X11" s="57">
        <f t="shared" si="12"/>
        <v>8272.61335853009</v>
      </c>
      <c r="Y11" s="57">
        <f t="shared" si="12"/>
        <v>9153.12579529362</v>
      </c>
      <c r="Z11" s="57">
        <f t="shared" si="12"/>
        <v>10317.4671534542</v>
      </c>
      <c r="AA11" s="57">
        <f t="shared" si="12"/>
        <v>11889.8903984231</v>
      </c>
      <c r="AB11" s="55">
        <f t="shared" si="12"/>
        <v>14067.0732287361</v>
      </c>
      <c r="AC11" s="55">
        <f t="shared" si="12"/>
        <v>17172.1445674789</v>
      </c>
      <c r="AD11" s="55">
        <f t="shared" si="12"/>
        <v>21758.8539592975</v>
      </c>
    </row>
    <row r="12" ht="14.25" spans="1:30">
      <c r="A12" s="39" t="s">
        <v>59</v>
      </c>
      <c r="B12" s="56" t="s">
        <v>408</v>
      </c>
      <c r="C12" s="58">
        <v>50</v>
      </c>
      <c r="D12" s="55">
        <f t="shared" si="0"/>
        <v>1.5</v>
      </c>
      <c r="E12" s="55">
        <f t="shared" si="1"/>
        <v>1.5</v>
      </c>
      <c r="F12" s="55">
        <f t="shared" si="2"/>
        <v>150</v>
      </c>
      <c r="G12" s="49"/>
      <c r="H12" s="56">
        <v>3</v>
      </c>
      <c r="I12" s="55">
        <v>100</v>
      </c>
      <c r="J12" s="55">
        <f>F12*5</f>
        <v>750</v>
      </c>
      <c r="K12" s="55">
        <f t="shared" si="4"/>
        <v>757.5</v>
      </c>
      <c r="L12" s="55">
        <f t="shared" ref="L12:AD12" si="13">$J12*L$18</f>
        <v>766.433455960386</v>
      </c>
      <c r="M12" s="55">
        <f t="shared" si="13"/>
        <v>777.096280942379</v>
      </c>
      <c r="N12" s="55">
        <f t="shared" si="13"/>
        <v>789.854181759996</v>
      </c>
      <c r="O12" s="55">
        <f t="shared" si="13"/>
        <v>805.1625396165</v>
      </c>
      <c r="P12" s="55">
        <f t="shared" si="13"/>
        <v>823.593272191428</v>
      </c>
      <c r="Q12" s="55">
        <f t="shared" si="13"/>
        <v>845.871643054528</v>
      </c>
      <c r="R12" s="55">
        <f t="shared" si="13"/>
        <v>872.927466357449</v>
      </c>
      <c r="S12" s="55">
        <f t="shared" si="13"/>
        <v>905.967492975471</v>
      </c>
      <c r="T12" s="55">
        <f t="shared" si="13"/>
        <v>946.579525504246</v>
      </c>
      <c r="U12" s="55">
        <f t="shared" si="13"/>
        <v>996.884988304082</v>
      </c>
      <c r="V12" s="55">
        <f t="shared" si="13"/>
        <v>1059.76706310787</v>
      </c>
      <c r="W12" s="57">
        <f t="shared" si="13"/>
        <v>1139.21939080691</v>
      </c>
      <c r="X12" s="57">
        <f t="shared" si="13"/>
        <v>1240.89200377951</v>
      </c>
      <c r="Y12" s="57">
        <f t="shared" si="13"/>
        <v>1372.96886929404</v>
      </c>
      <c r="Z12" s="57">
        <f t="shared" si="13"/>
        <v>1547.62007301813</v>
      </c>
      <c r="AA12" s="57">
        <f t="shared" si="13"/>
        <v>1783.48355976347</v>
      </c>
      <c r="AB12" s="55">
        <f t="shared" si="13"/>
        <v>2110.06098431041</v>
      </c>
      <c r="AC12" s="55">
        <f t="shared" si="13"/>
        <v>2575.82168512183</v>
      </c>
      <c r="AD12" s="55">
        <f t="shared" si="13"/>
        <v>3263.82809389462</v>
      </c>
    </row>
    <row r="13" ht="14.25" spans="1:30">
      <c r="A13" s="39" t="s">
        <v>59</v>
      </c>
      <c r="B13" s="52" t="s">
        <v>398</v>
      </c>
      <c r="C13" s="58">
        <v>50</v>
      </c>
      <c r="D13" s="55">
        <f t="shared" si="0"/>
        <v>2.5</v>
      </c>
      <c r="E13" s="55">
        <f t="shared" si="1"/>
        <v>2.5</v>
      </c>
      <c r="F13" s="55">
        <f t="shared" si="2"/>
        <v>250</v>
      </c>
      <c r="G13" s="49"/>
      <c r="H13" s="56">
        <v>5</v>
      </c>
      <c r="I13" s="55">
        <v>100</v>
      </c>
      <c r="J13" s="55">
        <f>F13*5</f>
        <v>1250</v>
      </c>
      <c r="K13" s="55">
        <f t="shared" si="4"/>
        <v>1262.5</v>
      </c>
      <c r="L13" s="55">
        <f t="shared" ref="L13:AD13" si="14">$J13*L$18</f>
        <v>1277.38909326731</v>
      </c>
      <c r="M13" s="55">
        <f t="shared" si="14"/>
        <v>1295.1604682373</v>
      </c>
      <c r="N13" s="55">
        <f t="shared" si="14"/>
        <v>1316.42363626666</v>
      </c>
      <c r="O13" s="55">
        <f t="shared" si="14"/>
        <v>1341.9375660275</v>
      </c>
      <c r="P13" s="55">
        <f t="shared" si="14"/>
        <v>1372.65545365238</v>
      </c>
      <c r="Q13" s="55">
        <f t="shared" si="14"/>
        <v>1409.78607175755</v>
      </c>
      <c r="R13" s="55">
        <f t="shared" si="14"/>
        <v>1454.87911059575</v>
      </c>
      <c r="S13" s="55">
        <f t="shared" si="14"/>
        <v>1509.94582162578</v>
      </c>
      <c r="T13" s="55">
        <f t="shared" si="14"/>
        <v>1577.63254250708</v>
      </c>
      <c r="U13" s="55">
        <f t="shared" si="14"/>
        <v>1661.4749805068</v>
      </c>
      <c r="V13" s="55">
        <f t="shared" si="14"/>
        <v>1766.27843851312</v>
      </c>
      <c r="W13" s="57">
        <f t="shared" si="14"/>
        <v>1898.69898467818</v>
      </c>
      <c r="X13" s="57">
        <f t="shared" si="14"/>
        <v>2068.15333963252</v>
      </c>
      <c r="Y13" s="57">
        <f t="shared" si="14"/>
        <v>2288.28144882341</v>
      </c>
      <c r="Z13" s="57">
        <f t="shared" si="14"/>
        <v>2579.36678836355</v>
      </c>
      <c r="AA13" s="57">
        <f t="shared" si="14"/>
        <v>2972.47259960578</v>
      </c>
      <c r="AB13" s="55">
        <f t="shared" si="14"/>
        <v>3516.76830718402</v>
      </c>
      <c r="AC13" s="55">
        <f t="shared" si="14"/>
        <v>4293.03614186971</v>
      </c>
      <c r="AD13" s="55">
        <f t="shared" si="14"/>
        <v>5439.71348982437</v>
      </c>
    </row>
    <row r="14" ht="14.25" spans="1:30">
      <c r="A14" s="39" t="s">
        <v>59</v>
      </c>
      <c r="B14" s="56" t="s">
        <v>341</v>
      </c>
      <c r="C14" s="58">
        <v>50</v>
      </c>
      <c r="D14" s="59">
        <f t="shared" si="0"/>
        <v>0.001</v>
      </c>
      <c r="E14" s="59">
        <f t="shared" si="1"/>
        <v>0.001</v>
      </c>
      <c r="F14" s="59">
        <f t="shared" si="2"/>
        <v>0.1</v>
      </c>
      <c r="G14" s="49"/>
      <c r="H14" s="56">
        <v>0.002</v>
      </c>
      <c r="I14" s="55">
        <v>100</v>
      </c>
      <c r="J14" s="60">
        <f>F14</f>
        <v>0.1</v>
      </c>
      <c r="K14" s="60">
        <f t="shared" si="4"/>
        <v>0.101</v>
      </c>
      <c r="L14" s="60">
        <f t="shared" ref="L14:AD14" si="15">$J14*L$18</f>
        <v>0.102191127461385</v>
      </c>
      <c r="M14" s="60">
        <f t="shared" si="15"/>
        <v>0.103612837458984</v>
      </c>
      <c r="N14" s="60">
        <f t="shared" si="15"/>
        <v>0.105313890901333</v>
      </c>
      <c r="O14" s="60">
        <f t="shared" si="15"/>
        <v>0.1073550052822</v>
      </c>
      <c r="P14" s="60">
        <f t="shared" si="15"/>
        <v>0.10981243629219</v>
      </c>
      <c r="Q14" s="60">
        <f t="shared" si="15"/>
        <v>0.112782885740604</v>
      </c>
      <c r="R14" s="60">
        <f t="shared" si="15"/>
        <v>0.11639032884766</v>
      </c>
      <c r="S14" s="60">
        <f t="shared" si="15"/>
        <v>0.120795665730063</v>
      </c>
      <c r="T14" s="60">
        <f t="shared" si="15"/>
        <v>0.126210603400566</v>
      </c>
      <c r="U14" s="60">
        <f t="shared" si="15"/>
        <v>0.132917998440544</v>
      </c>
      <c r="V14" s="60">
        <f t="shared" si="15"/>
        <v>0.141302275081049</v>
      </c>
      <c r="W14" s="61">
        <f t="shared" si="15"/>
        <v>0.151895918774254</v>
      </c>
      <c r="X14" s="61">
        <f t="shared" si="15"/>
        <v>0.165452267170602</v>
      </c>
      <c r="Y14" s="61">
        <f t="shared" si="15"/>
        <v>0.183062515905872</v>
      </c>
      <c r="Z14" s="61">
        <f t="shared" si="15"/>
        <v>0.206349343069084</v>
      </c>
      <c r="AA14" s="61">
        <f t="shared" si="15"/>
        <v>0.237797807968462</v>
      </c>
      <c r="AB14" s="60">
        <f t="shared" si="15"/>
        <v>0.281341464574722</v>
      </c>
      <c r="AC14" s="60">
        <f t="shared" si="15"/>
        <v>0.343442891349577</v>
      </c>
      <c r="AD14" s="60">
        <f t="shared" si="15"/>
        <v>0.43517707918595</v>
      </c>
    </row>
    <row r="15" ht="14.25" spans="1:30">
      <c r="A15" s="39" t="s">
        <v>59</v>
      </c>
      <c r="B15" s="56" t="s">
        <v>342</v>
      </c>
      <c r="C15" s="58">
        <v>50</v>
      </c>
      <c r="D15" s="59">
        <f t="shared" si="0"/>
        <v>0.001</v>
      </c>
      <c r="E15" s="59">
        <f t="shared" si="1"/>
        <v>0.001</v>
      </c>
      <c r="F15" s="59">
        <f t="shared" si="2"/>
        <v>0.1</v>
      </c>
      <c r="G15" s="49"/>
      <c r="H15" s="56">
        <v>0.002</v>
      </c>
      <c r="I15" s="55">
        <v>100</v>
      </c>
      <c r="J15" s="60">
        <f>F15</f>
        <v>0.1</v>
      </c>
      <c r="K15" s="60">
        <f t="shared" si="4"/>
        <v>0.101</v>
      </c>
      <c r="L15" s="60">
        <f t="shared" ref="L15:AD15" si="16">$J15*L$18</f>
        <v>0.102191127461385</v>
      </c>
      <c r="M15" s="60">
        <f t="shared" si="16"/>
        <v>0.103612837458984</v>
      </c>
      <c r="N15" s="60">
        <f t="shared" si="16"/>
        <v>0.105313890901333</v>
      </c>
      <c r="O15" s="60">
        <f t="shared" si="16"/>
        <v>0.1073550052822</v>
      </c>
      <c r="P15" s="60">
        <f t="shared" si="16"/>
        <v>0.10981243629219</v>
      </c>
      <c r="Q15" s="60">
        <f t="shared" si="16"/>
        <v>0.112782885740604</v>
      </c>
      <c r="R15" s="60">
        <f t="shared" si="16"/>
        <v>0.11639032884766</v>
      </c>
      <c r="S15" s="60">
        <f t="shared" si="16"/>
        <v>0.120795665730063</v>
      </c>
      <c r="T15" s="60">
        <f t="shared" si="16"/>
        <v>0.126210603400566</v>
      </c>
      <c r="U15" s="60">
        <f t="shared" si="16"/>
        <v>0.132917998440544</v>
      </c>
      <c r="V15" s="60">
        <f t="shared" si="16"/>
        <v>0.141302275081049</v>
      </c>
      <c r="W15" s="61">
        <f t="shared" si="16"/>
        <v>0.151895918774254</v>
      </c>
      <c r="X15" s="61">
        <f t="shared" si="16"/>
        <v>0.165452267170602</v>
      </c>
      <c r="Y15" s="61">
        <f t="shared" si="16"/>
        <v>0.183062515905872</v>
      </c>
      <c r="Z15" s="61">
        <f t="shared" si="16"/>
        <v>0.206349343069084</v>
      </c>
      <c r="AA15" s="61">
        <f t="shared" si="16"/>
        <v>0.237797807968462</v>
      </c>
      <c r="AB15" s="60">
        <f t="shared" si="16"/>
        <v>0.281341464574722</v>
      </c>
      <c r="AC15" s="60">
        <f t="shared" si="16"/>
        <v>0.343442891349577</v>
      </c>
      <c r="AD15" s="60">
        <f t="shared" si="16"/>
        <v>0.43517707918595</v>
      </c>
    </row>
    <row r="16" ht="14.25" spans="1:30">
      <c r="A16" s="39" t="s">
        <v>59</v>
      </c>
      <c r="B16" s="56" t="s">
        <v>340</v>
      </c>
      <c r="C16" s="58">
        <v>50</v>
      </c>
      <c r="D16" s="59">
        <f t="shared" si="0"/>
        <v>0.001</v>
      </c>
      <c r="E16" s="59">
        <f t="shared" si="1"/>
        <v>0.001</v>
      </c>
      <c r="F16" s="59">
        <f t="shared" si="2"/>
        <v>0.1</v>
      </c>
      <c r="G16" s="49"/>
      <c r="H16" s="56">
        <v>0.002</v>
      </c>
      <c r="I16" s="55">
        <v>100</v>
      </c>
      <c r="J16" s="60">
        <f>F16</f>
        <v>0.1</v>
      </c>
      <c r="K16" s="60">
        <f t="shared" si="4"/>
        <v>0.101</v>
      </c>
      <c r="L16" s="60">
        <f t="shared" ref="L16:AD16" si="17">$J16*L$18</f>
        <v>0.102191127461385</v>
      </c>
      <c r="M16" s="60">
        <f t="shared" si="17"/>
        <v>0.103612837458984</v>
      </c>
      <c r="N16" s="60">
        <f t="shared" si="17"/>
        <v>0.105313890901333</v>
      </c>
      <c r="O16" s="60">
        <f t="shared" si="17"/>
        <v>0.1073550052822</v>
      </c>
      <c r="P16" s="60">
        <f t="shared" si="17"/>
        <v>0.10981243629219</v>
      </c>
      <c r="Q16" s="60">
        <f t="shared" si="17"/>
        <v>0.112782885740604</v>
      </c>
      <c r="R16" s="60">
        <f t="shared" si="17"/>
        <v>0.11639032884766</v>
      </c>
      <c r="S16" s="60">
        <f t="shared" si="17"/>
        <v>0.120795665730063</v>
      </c>
      <c r="T16" s="60">
        <f t="shared" si="17"/>
        <v>0.126210603400566</v>
      </c>
      <c r="U16" s="60">
        <f t="shared" si="17"/>
        <v>0.132917998440544</v>
      </c>
      <c r="V16" s="60">
        <f t="shared" si="17"/>
        <v>0.141302275081049</v>
      </c>
      <c r="W16" s="61">
        <f t="shared" si="17"/>
        <v>0.151895918774254</v>
      </c>
      <c r="X16" s="61">
        <f t="shared" si="17"/>
        <v>0.165452267170602</v>
      </c>
      <c r="Y16" s="61">
        <f t="shared" si="17"/>
        <v>0.183062515905872</v>
      </c>
      <c r="Z16" s="61">
        <f t="shared" si="17"/>
        <v>0.206349343069084</v>
      </c>
      <c r="AA16" s="61">
        <f t="shared" si="17"/>
        <v>0.237797807968462</v>
      </c>
      <c r="AB16" s="60">
        <f t="shared" si="17"/>
        <v>0.281341464574722</v>
      </c>
      <c r="AC16" s="60">
        <f t="shared" si="17"/>
        <v>0.343442891349577</v>
      </c>
      <c r="AD16" s="60">
        <f t="shared" si="17"/>
        <v>0.43517707918595</v>
      </c>
    </row>
    <row r="17" ht="14.25" spans="1:30">
      <c r="A17" s="39" t="s">
        <v>59</v>
      </c>
      <c r="B17" s="56" t="s">
        <v>339</v>
      </c>
      <c r="C17" s="58">
        <v>50</v>
      </c>
      <c r="D17" s="59">
        <f t="shared" si="0"/>
        <v>0.001</v>
      </c>
      <c r="E17" s="59">
        <f t="shared" si="1"/>
        <v>0.001</v>
      </c>
      <c r="F17" s="59">
        <f t="shared" si="2"/>
        <v>0.1</v>
      </c>
      <c r="G17" s="49"/>
      <c r="H17" s="56">
        <v>0.002</v>
      </c>
      <c r="I17" s="55">
        <v>100</v>
      </c>
      <c r="J17" s="60">
        <f>F17</f>
        <v>0.1</v>
      </c>
      <c r="K17" s="60">
        <f t="shared" si="4"/>
        <v>0.101</v>
      </c>
      <c r="L17" s="60">
        <f t="shared" ref="L17:AD17" si="18">$J17*L$18</f>
        <v>0.102191127461385</v>
      </c>
      <c r="M17" s="60">
        <f t="shared" si="18"/>
        <v>0.103612837458984</v>
      </c>
      <c r="N17" s="60">
        <f t="shared" si="18"/>
        <v>0.105313890901333</v>
      </c>
      <c r="O17" s="60">
        <f t="shared" si="18"/>
        <v>0.1073550052822</v>
      </c>
      <c r="P17" s="60">
        <f t="shared" si="18"/>
        <v>0.10981243629219</v>
      </c>
      <c r="Q17" s="60">
        <f t="shared" si="18"/>
        <v>0.112782885740604</v>
      </c>
      <c r="R17" s="60">
        <f t="shared" si="18"/>
        <v>0.11639032884766</v>
      </c>
      <c r="S17" s="60">
        <f t="shared" si="18"/>
        <v>0.120795665730063</v>
      </c>
      <c r="T17" s="60">
        <f t="shared" si="18"/>
        <v>0.126210603400566</v>
      </c>
      <c r="U17" s="60">
        <f t="shared" si="18"/>
        <v>0.132917998440544</v>
      </c>
      <c r="V17" s="60">
        <f t="shared" si="18"/>
        <v>0.141302275081049</v>
      </c>
      <c r="W17" s="61">
        <f t="shared" si="18"/>
        <v>0.151895918774254</v>
      </c>
      <c r="X17" s="61">
        <f t="shared" si="18"/>
        <v>0.165452267170602</v>
      </c>
      <c r="Y17" s="61">
        <f t="shared" si="18"/>
        <v>0.183062515905872</v>
      </c>
      <c r="Z17" s="61">
        <f t="shared" si="18"/>
        <v>0.206349343069084</v>
      </c>
      <c r="AA17" s="61">
        <f t="shared" si="18"/>
        <v>0.237797807968462</v>
      </c>
      <c r="AB17" s="60">
        <f t="shared" si="18"/>
        <v>0.281341464574722</v>
      </c>
      <c r="AC17" s="60">
        <f t="shared" si="18"/>
        <v>0.343442891349577</v>
      </c>
      <c r="AD17" s="60">
        <f t="shared" si="18"/>
        <v>0.43517707918595</v>
      </c>
    </row>
    <row r="18" spans="1:30">
      <c r="K18" s="2">
        <v>1.01</v>
      </c>
      <c r="L18" s="2">
        <f>K18^$K20+0.01</f>
        <v>1.02191127461385</v>
      </c>
      <c r="M18" s="2">
        <f t="shared" ref="M18:AD18" si="19">L18^$K20+0.01</f>
        <v>1.03612837458984</v>
      </c>
      <c r="N18" s="2">
        <f t="shared" si="19"/>
        <v>1.05313890901333</v>
      </c>
      <c r="O18" s="2">
        <f t="shared" si="19"/>
        <v>1.073550052822</v>
      </c>
      <c r="P18" s="2">
        <f t="shared" si="19"/>
        <v>1.0981243629219</v>
      </c>
      <c r="Q18" s="2">
        <f t="shared" si="19"/>
        <v>1.12782885740604</v>
      </c>
      <c r="R18" s="2">
        <f t="shared" si="19"/>
        <v>1.1639032884766</v>
      </c>
      <c r="S18" s="2">
        <f t="shared" si="19"/>
        <v>1.20795665730063</v>
      </c>
      <c r="T18" s="2">
        <f t="shared" si="19"/>
        <v>1.26210603400566</v>
      </c>
      <c r="U18" s="2">
        <f t="shared" si="19"/>
        <v>1.32917998440544</v>
      </c>
      <c r="V18" s="2">
        <f t="shared" si="19"/>
        <v>1.41302275081049</v>
      </c>
      <c r="W18" s="2">
        <f t="shared" si="19"/>
        <v>1.51895918774254</v>
      </c>
      <c r="X18" s="2">
        <f t="shared" si="19"/>
        <v>1.65452267170602</v>
      </c>
      <c r="Y18" s="2">
        <f t="shared" si="19"/>
        <v>1.83062515905872</v>
      </c>
      <c r="Z18" s="2">
        <f t="shared" si="19"/>
        <v>2.06349343069084</v>
      </c>
      <c r="AA18" s="2">
        <f t="shared" si="19"/>
        <v>2.37797807968462</v>
      </c>
      <c r="AB18" s="2">
        <f t="shared" si="19"/>
        <v>2.81341464574722</v>
      </c>
      <c r="AC18" s="2">
        <f t="shared" si="19"/>
        <v>3.43442891349577</v>
      </c>
      <c r="AD18" s="2">
        <f t="shared" si="19"/>
        <v>4.35177079185949</v>
      </c>
    </row>
    <row r="19" spans="1:30">
      <c r="K19" s="2">
        <f>K18-1</f>
        <v>0.01</v>
      </c>
      <c r="L19" s="2">
        <f t="shared" ref="L19:AD19" si="20">L18-1</f>
        <v>0.0219112746138475</v>
      </c>
      <c r="M19" s="2">
        <f t="shared" si="20"/>
        <v>0.0361283745898386</v>
      </c>
      <c r="N19" s="2">
        <f t="shared" si="20"/>
        <v>0.0531389090133274</v>
      </c>
      <c r="O19" s="2">
        <f t="shared" si="20"/>
        <v>0.0735500528220001</v>
      </c>
      <c r="P19" s="2">
        <f t="shared" si="20"/>
        <v>0.0981243629219037</v>
      </c>
      <c r="Q19" s="2">
        <f t="shared" si="20"/>
        <v>0.127828857406037</v>
      </c>
      <c r="R19" s="2">
        <f t="shared" si="20"/>
        <v>0.163903288476599</v>
      </c>
      <c r="S19" s="2">
        <f t="shared" si="20"/>
        <v>0.207956657300628</v>
      </c>
      <c r="T19" s="2">
        <f t="shared" si="20"/>
        <v>0.262106034005661</v>
      </c>
      <c r="U19" s="2">
        <f t="shared" si="20"/>
        <v>0.329179984405443</v>
      </c>
      <c r="V19" s="2">
        <f t="shared" si="20"/>
        <v>0.413022750810494</v>
      </c>
      <c r="W19" s="2">
        <f t="shared" si="20"/>
        <v>0.518959187742541</v>
      </c>
      <c r="X19" s="2">
        <f t="shared" si="20"/>
        <v>0.654522671706018</v>
      </c>
      <c r="Y19" s="2">
        <f t="shared" si="20"/>
        <v>0.830625159058724</v>
      </c>
      <c r="Z19" s="2">
        <f t="shared" si="20"/>
        <v>1.06349343069084</v>
      </c>
      <c r="AA19" s="2">
        <f t="shared" si="20"/>
        <v>1.37797807968462</v>
      </c>
      <c r="AB19" s="2">
        <f t="shared" si="20"/>
        <v>1.81341464574722</v>
      </c>
      <c r="AC19" s="2">
        <f t="shared" si="20"/>
        <v>2.43442891349577</v>
      </c>
      <c r="AD19" s="2">
        <f t="shared" si="20"/>
        <v>3.35177079185949</v>
      </c>
    </row>
    <row r="20" spans="1:30">
      <c r="K20" s="62">
        <v>1.19</v>
      </c>
      <c r="L20" s="2">
        <f>L18-K18</f>
        <v>0.0119112746138474</v>
      </c>
      <c r="M20" s="2">
        <f t="shared" ref="M20:AD20" si="21">M18-L18</f>
        <v>0.0142170999759912</v>
      </c>
      <c r="N20" s="2">
        <f t="shared" si="21"/>
        <v>0.0170105344234888</v>
      </c>
      <c r="O20" s="2">
        <f t="shared" si="21"/>
        <v>0.0204111438086727</v>
      </c>
      <c r="P20" s="2">
        <f t="shared" si="21"/>
        <v>0.0245743100999036</v>
      </c>
      <c r="Q20" s="2">
        <f t="shared" si="21"/>
        <v>0.0297044944841336</v>
      </c>
      <c r="R20" s="2">
        <f t="shared" si="21"/>
        <v>0.0360744310705619</v>
      </c>
      <c r="S20" s="2">
        <f t="shared" si="21"/>
        <v>0.0440533688240283</v>
      </c>
      <c r="T20" s="2">
        <f t="shared" si="21"/>
        <v>0.0541493767050332</v>
      </c>
      <c r="U20" s="2">
        <f t="shared" si="21"/>
        <v>0.0670739503997821</v>
      </c>
      <c r="V20" s="2">
        <f t="shared" si="21"/>
        <v>0.0838427664050514</v>
      </c>
      <c r="W20" s="2">
        <f t="shared" si="21"/>
        <v>0.105936436932047</v>
      </c>
      <c r="X20" s="2">
        <f t="shared" si="21"/>
        <v>0.135563483963477</v>
      </c>
      <c r="Y20" s="2">
        <f t="shared" si="21"/>
        <v>0.176102487352706</v>
      </c>
      <c r="Z20" s="2">
        <f t="shared" si="21"/>
        <v>0.232868271632112</v>
      </c>
      <c r="AA20" s="2">
        <f t="shared" si="21"/>
        <v>0.314484648993784</v>
      </c>
      <c r="AB20" s="2">
        <f t="shared" si="21"/>
        <v>0.435436566062598</v>
      </c>
      <c r="AC20" s="2">
        <f t="shared" si="21"/>
        <v>0.621014267748553</v>
      </c>
      <c r="AD20" s="2">
        <f t="shared" si="21"/>
        <v>0.917341878363723</v>
      </c>
    </row>
    <row r="21" spans="1:30">
      <c r="B21" s="1" t="s">
        <v>389</v>
      </c>
    </row>
    <row r="22" ht="14.25" spans="1:30">
      <c r="A22" s="1" t="s">
        <v>545</v>
      </c>
      <c r="B22" s="56" t="s">
        <v>385</v>
      </c>
      <c r="M22" s="1"/>
    </row>
    <row r="23" ht="14.25" spans="1:30">
      <c r="A23" s="1" t="s">
        <v>547</v>
      </c>
      <c r="B23" s="56" t="s">
        <v>408</v>
      </c>
      <c r="C23" s="1" t="s">
        <v>179</v>
      </c>
      <c r="D23" s="56" t="s">
        <v>401</v>
      </c>
      <c r="M23" s="1"/>
    </row>
    <row r="24" ht="14.25" spans="1:30">
      <c r="C24" s="1" t="s">
        <v>191</v>
      </c>
      <c r="D24" s="56" t="s">
        <v>407</v>
      </c>
      <c r="M24" s="1"/>
    </row>
    <row r="25" spans="1:30">
      <c r="C25" s="1" t="s">
        <v>176</v>
      </c>
      <c r="M25" s="1"/>
    </row>
    <row r="26" spans="1:30">
      <c r="B26" t="s">
        <v>334</v>
      </c>
      <c r="C26" s="1" t="s">
        <v>548</v>
      </c>
      <c r="D26" t="s">
        <v>150</v>
      </c>
      <c r="E26" t="s">
        <v>158</v>
      </c>
      <c r="F26" t="s">
        <v>165</v>
      </c>
      <c r="G26" t="s">
        <v>172</v>
      </c>
      <c r="H26" t="s">
        <v>174</v>
      </c>
    </row>
    <row r="27" spans="1:30">
      <c r="B27" s="1" t="s">
        <v>335</v>
      </c>
      <c r="C27" s="1" t="s">
        <v>335</v>
      </c>
      <c r="D27" s="1" t="s">
        <v>335</v>
      </c>
      <c r="E27" s="1" t="s">
        <v>335</v>
      </c>
      <c r="F27" s="1" t="s">
        <v>335</v>
      </c>
      <c r="G27" s="1" t="s">
        <v>335</v>
      </c>
      <c r="H27" s="1" t="s">
        <v>335</v>
      </c>
    </row>
    <row r="28" ht="14.25" spans="1:30">
      <c r="A28">
        <v>1</v>
      </c>
      <c r="B28" s="52" t="s">
        <v>545</v>
      </c>
      <c r="C28" s="52" t="s">
        <v>343</v>
      </c>
      <c r="D28" s="63" t="s">
        <v>398</v>
      </c>
      <c r="E28" s="63" t="s">
        <v>398</v>
      </c>
      <c r="F28" s="63" t="s">
        <v>398</v>
      </c>
      <c r="G28" s="63" t="s">
        <v>398</v>
      </c>
      <c r="H28" s="63" t="s">
        <v>398</v>
      </c>
    </row>
    <row r="29" ht="14.25" spans="1:30">
      <c r="A29">
        <v>2</v>
      </c>
      <c r="B29" s="52" t="s">
        <v>337</v>
      </c>
      <c r="C29" s="56" t="s">
        <v>345</v>
      </c>
      <c r="D29" s="52" t="s">
        <v>340</v>
      </c>
      <c r="E29" s="52" t="s">
        <v>339</v>
      </c>
      <c r="F29" s="52" t="s">
        <v>504</v>
      </c>
      <c r="G29" s="52" t="s">
        <v>341</v>
      </c>
      <c r="H29" s="52" t="s">
        <v>342</v>
      </c>
    </row>
    <row r="30" ht="14.25" spans="1:30">
      <c r="A30">
        <v>3</v>
      </c>
      <c r="B30" s="52" t="s">
        <v>504</v>
      </c>
      <c r="C30" s="1" t="s">
        <v>549</v>
      </c>
      <c r="E30" s="56"/>
      <c r="F30" s="56"/>
      <c r="G30" s="56"/>
      <c r="H30" s="56"/>
    </row>
    <row r="31" ht="14.25" spans="1:30">
      <c r="A31">
        <v>4</v>
      </c>
      <c r="B31" s="56" t="s">
        <v>546</v>
      </c>
      <c r="C31" s="1" t="s">
        <v>550</v>
      </c>
      <c r="E31" s="56"/>
      <c r="F31" s="56"/>
      <c r="G31" s="56"/>
      <c r="H31" s="56"/>
    </row>
    <row r="32" spans="1:30">
      <c r="D32" s="1" t="s">
        <v>551</v>
      </c>
    </row>
    <row r="34" spans="2:2">
      <c r="B34" s="1" t="s">
        <v>552</v>
      </c>
    </row>
  </sheetData>
  <sheetProtection formatCells="0" formatColumns="0" formatRows="0" insertRows="0" insertColumns="0" insertHyperlinks="0" deleteColumns="0" deleteRows="0" sort="0" autoFilter="0" pivotTables="0"/>
  <sortState ref="A1:U16">
    <sortCondition ref="A2" descending="1"/>
  </sortState>
  <mergeCells count="1">
    <mergeCell ref="G2:G1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95959"/>
  </sheetPr>
  <dimension ref="A1:N77"/>
  <sheetViews>
    <sheetView topLeftCell="A28" workbookViewId="0">
      <selection activeCell="B32" sqref="B32:B39"/>
    </sheetView>
  </sheetViews>
  <sheetFormatPr defaultColWidth="9" defaultRowHeight="13.5"/>
  <cols>
    <col min="2" max="2" width="10.875" customWidth="1"/>
    <col min="3" max="3" width="8.875" customWidth="1"/>
    <col min="4" max="8" width="9.875" customWidth="1"/>
    <col min="9" max="9" width="8" customWidth="1"/>
    <col min="10" max="10" width="10.875" customWidth="1"/>
    <col min="11" max="12" width="9.875" customWidth="1"/>
    <col min="13" max="14" width="10" customWidth="1"/>
  </cols>
  <sheetData>
    <row r="1" spans="1:14">
      <c r="A1" s="1" t="s">
        <v>553</v>
      </c>
    </row>
    <row r="2" ht="38.25" customHeight="1" spans="1:14">
      <c r="A2" s="36" t="s">
        <v>554</v>
      </c>
      <c r="B2" s="36" t="s">
        <v>555</v>
      </c>
      <c r="C2" s="36" t="s">
        <v>556</v>
      </c>
      <c r="D2" s="36" t="s">
        <v>557</v>
      </c>
      <c r="E2" s="37" t="s">
        <v>558</v>
      </c>
      <c r="F2" s="37" t="s">
        <v>559</v>
      </c>
      <c r="G2" s="37" t="s">
        <v>560</v>
      </c>
      <c r="H2" s="37" t="s">
        <v>561</v>
      </c>
      <c r="I2" s="37" t="s">
        <v>562</v>
      </c>
      <c r="J2" s="37" t="s">
        <v>563</v>
      </c>
      <c r="K2" s="37" t="s">
        <v>564</v>
      </c>
      <c r="L2" s="37" t="s">
        <v>565</v>
      </c>
      <c r="M2" s="37" t="s">
        <v>566</v>
      </c>
      <c r="N2" s="38" t="s">
        <v>567</v>
      </c>
    </row>
    <row r="3" spans="1:14">
      <c r="A3" s="518" t="s">
        <v>568</v>
      </c>
      <c r="B3" s="40"/>
      <c r="C3" s="40"/>
      <c r="D3" s="40"/>
      <c r="E3" s="518" t="s">
        <v>568</v>
      </c>
      <c r="F3" s="40"/>
      <c r="G3" s="40"/>
      <c r="H3" s="40"/>
      <c r="I3" s="40"/>
      <c r="J3" s="40"/>
      <c r="K3" s="40"/>
      <c r="L3" s="40"/>
      <c r="M3" s="40"/>
      <c r="N3" s="40"/>
    </row>
    <row r="4" spans="1:14">
      <c r="A4" s="518" t="s">
        <v>569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>
      <c r="A5" s="518" t="s">
        <v>570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</row>
    <row r="6" spans="1:14">
      <c r="A6" s="518" t="s">
        <v>571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</row>
    <row r="7" spans="1:14">
      <c r="A7" s="518" t="s">
        <v>572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</row>
    <row r="8" spans="1:14">
      <c r="A8" s="518" t="s">
        <v>573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</row>
    <row r="9" spans="1:14">
      <c r="A9" s="518" t="s">
        <v>574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</row>
    <row r="10" spans="1:14">
      <c r="A10" s="518" t="s">
        <v>575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</row>
    <row r="11" spans="1:14">
      <c r="A11" s="518" t="s">
        <v>576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</row>
    <row r="12" spans="1:14">
      <c r="A12" s="518" t="s">
        <v>577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3" spans="1:14">
      <c r="A13" s="518" t="s">
        <v>578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</row>
    <row r="14" spans="1:14">
      <c r="A14" s="518" t="s">
        <v>579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</row>
    <row r="15" spans="1:14">
      <c r="A15" s="518" t="s">
        <v>580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</row>
    <row r="16" spans="1:14">
      <c r="A16" s="518" t="s">
        <v>581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</row>
    <row r="17" spans="1:14">
      <c r="A17" s="518" t="s">
        <v>582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20" spans="1:14">
      <c r="A20" s="1" t="s">
        <v>583</v>
      </c>
      <c r="N20" s="1"/>
    </row>
    <row r="21" spans="1:14">
      <c r="A21" s="39" t="s">
        <v>584</v>
      </c>
      <c r="B21" s="39" t="s">
        <v>585</v>
      </c>
      <c r="C21" s="39" t="s">
        <v>586</v>
      </c>
      <c r="D21" s="39" t="s">
        <v>587</v>
      </c>
      <c r="E21" s="39" t="s">
        <v>588</v>
      </c>
      <c r="N21" s="1"/>
    </row>
    <row r="22" spans="1:14">
      <c r="A22" s="40">
        <v>1</v>
      </c>
      <c r="B22" s="39" t="s">
        <v>151</v>
      </c>
      <c r="C22" s="40"/>
      <c r="D22" s="40"/>
      <c r="E22" s="40"/>
    </row>
    <row r="23" spans="1:14">
      <c r="A23" s="40">
        <v>2</v>
      </c>
      <c r="B23" s="39" t="s">
        <v>589</v>
      </c>
      <c r="C23" s="39" t="s">
        <v>590</v>
      </c>
      <c r="D23" s="39" t="s">
        <v>591</v>
      </c>
      <c r="E23" s="39" t="s">
        <v>592</v>
      </c>
    </row>
    <row r="24" spans="1:14">
      <c r="A24" s="40">
        <v>3</v>
      </c>
      <c r="B24" s="39" t="s">
        <v>593</v>
      </c>
      <c r="C24" s="39" t="s">
        <v>594</v>
      </c>
      <c r="D24" s="39" t="s">
        <v>595</v>
      </c>
      <c r="E24" s="39" t="s">
        <v>596</v>
      </c>
    </row>
    <row r="25" spans="1:14">
      <c r="A25" s="40">
        <v>4</v>
      </c>
      <c r="B25" s="39" t="s">
        <v>597</v>
      </c>
      <c r="C25" s="39" t="s">
        <v>598</v>
      </c>
      <c r="D25" s="39" t="s">
        <v>599</v>
      </c>
      <c r="E25" s="39" t="s">
        <v>600</v>
      </c>
    </row>
    <row r="26" spans="1:14">
      <c r="A26" s="40">
        <v>5</v>
      </c>
      <c r="B26" s="39" t="s">
        <v>601</v>
      </c>
      <c r="C26" s="39" t="s">
        <v>602</v>
      </c>
      <c r="D26" s="39" t="s">
        <v>603</v>
      </c>
      <c r="E26" s="39" t="s">
        <v>604</v>
      </c>
    </row>
    <row r="27" spans="1:14">
      <c r="A27" s="40">
        <v>6</v>
      </c>
      <c r="B27" s="39" t="s">
        <v>605</v>
      </c>
      <c r="C27" s="39" t="s">
        <v>606</v>
      </c>
      <c r="D27" s="39" t="s">
        <v>607</v>
      </c>
      <c r="E27" s="39" t="s">
        <v>608</v>
      </c>
    </row>
    <row r="30" spans="1:14">
      <c r="A30" s="1" t="s">
        <v>609</v>
      </c>
      <c r="C30" s="1"/>
    </row>
    <row r="31" spans="1:14">
      <c r="A31" s="39" t="s">
        <v>610</v>
      </c>
      <c r="B31" s="39" t="s">
        <v>611</v>
      </c>
      <c r="C31" s="39" t="s">
        <v>612</v>
      </c>
      <c r="D31" s="39" t="s">
        <v>613</v>
      </c>
      <c r="E31" s="39" t="s">
        <v>614</v>
      </c>
      <c r="F31" s="39" t="s">
        <v>615</v>
      </c>
      <c r="M31" s="1" t="s">
        <v>616</v>
      </c>
      <c r="N31" s="1" t="s">
        <v>517</v>
      </c>
    </row>
    <row r="32" spans="1:14">
      <c r="A32" s="39">
        <v>1</v>
      </c>
      <c r="B32" s="39" t="s">
        <v>150</v>
      </c>
      <c r="C32" s="39">
        <v>1110</v>
      </c>
      <c r="D32" s="40">
        <v>1111</v>
      </c>
      <c r="E32" s="40">
        <v>1112</v>
      </c>
      <c r="F32" s="40">
        <v>1113</v>
      </c>
    </row>
    <row r="33" spans="1:6">
      <c r="A33" s="39">
        <v>2</v>
      </c>
      <c r="B33" s="39" t="s">
        <v>158</v>
      </c>
      <c r="C33" s="40"/>
      <c r="D33" s="40"/>
      <c r="E33" s="40"/>
      <c r="F33" s="40"/>
    </row>
    <row r="34" spans="1:6">
      <c r="A34" s="39">
        <v>3</v>
      </c>
      <c r="B34" s="39" t="s">
        <v>165</v>
      </c>
      <c r="C34" s="40"/>
      <c r="D34" s="40"/>
      <c r="E34" s="40"/>
      <c r="F34" s="40"/>
    </row>
    <row r="35" spans="1:6">
      <c r="A35" s="39">
        <v>4</v>
      </c>
      <c r="B35" s="39" t="s">
        <v>174</v>
      </c>
      <c r="C35" s="40"/>
      <c r="D35" s="40"/>
      <c r="E35" s="40"/>
      <c r="F35" s="40"/>
    </row>
    <row r="36" spans="1:6">
      <c r="A36" s="39">
        <v>5</v>
      </c>
      <c r="B36" s="39" t="s">
        <v>172</v>
      </c>
      <c r="C36" s="40"/>
      <c r="D36" s="40"/>
      <c r="E36" s="40"/>
      <c r="F36" s="40"/>
    </row>
    <row r="37" spans="1:6">
      <c r="A37" s="39">
        <v>6</v>
      </c>
      <c r="B37" s="39" t="s">
        <v>179</v>
      </c>
      <c r="C37" s="40"/>
      <c r="D37" s="40"/>
      <c r="E37" s="40"/>
      <c r="F37" s="40"/>
    </row>
    <row r="38" spans="1:6">
      <c r="A38" s="39">
        <v>7</v>
      </c>
      <c r="B38" s="39" t="s">
        <v>176</v>
      </c>
      <c r="C38" s="40"/>
      <c r="D38" s="40"/>
      <c r="E38" s="40"/>
      <c r="F38" s="40"/>
    </row>
    <row r="39" spans="1:6">
      <c r="A39" s="39">
        <v>8</v>
      </c>
      <c r="B39" s="39" t="s">
        <v>191</v>
      </c>
      <c r="C39" s="40"/>
      <c r="D39" s="40"/>
      <c r="E39" s="40"/>
      <c r="F39" s="40"/>
    </row>
    <row r="40" spans="1:6">
      <c r="A40" s="39">
        <v>9</v>
      </c>
      <c r="B40" s="39" t="s">
        <v>334</v>
      </c>
      <c r="C40" s="40"/>
      <c r="D40" s="40"/>
      <c r="E40" s="40"/>
      <c r="F40" s="40"/>
    </row>
    <row r="46" spans="1:6">
      <c r="A46" s="1" t="s">
        <v>617</v>
      </c>
      <c r="C46" s="1" t="s">
        <v>618</v>
      </c>
    </row>
    <row r="47" spans="1:6">
      <c r="A47" s="39" t="s">
        <v>554</v>
      </c>
      <c r="B47" s="39" t="s">
        <v>208</v>
      </c>
      <c r="C47" s="39" t="s">
        <v>619</v>
      </c>
      <c r="D47" s="39" t="s">
        <v>620</v>
      </c>
    </row>
    <row r="48" spans="1:6">
      <c r="A48" s="40">
        <v>1</v>
      </c>
      <c r="B48" s="39" t="s">
        <v>151</v>
      </c>
      <c r="C48" s="41">
        <v>0</v>
      </c>
      <c r="D48" s="39" t="s">
        <v>621</v>
      </c>
    </row>
    <row r="49" spans="1:4">
      <c r="A49" s="40">
        <v>2</v>
      </c>
      <c r="B49" s="39" t="s">
        <v>151</v>
      </c>
      <c r="C49" s="41">
        <v>0.5</v>
      </c>
      <c r="D49" s="39" t="s">
        <v>515</v>
      </c>
    </row>
    <row r="50" spans="1:4">
      <c r="A50" s="40">
        <v>3</v>
      </c>
      <c r="B50" s="39" t="s">
        <v>589</v>
      </c>
      <c r="C50" s="41">
        <v>0</v>
      </c>
      <c r="D50" s="39" t="s">
        <v>515</v>
      </c>
    </row>
    <row r="51" spans="1:4">
      <c r="A51" s="40">
        <v>4</v>
      </c>
      <c r="B51" s="39" t="s">
        <v>589</v>
      </c>
      <c r="C51" s="41">
        <v>0.6</v>
      </c>
      <c r="D51" s="39" t="s">
        <v>622</v>
      </c>
    </row>
    <row r="52" spans="1:4">
      <c r="A52" s="40">
        <v>5</v>
      </c>
      <c r="B52" s="39" t="s">
        <v>590</v>
      </c>
      <c r="C52" s="41">
        <v>0</v>
      </c>
      <c r="D52" s="39" t="s">
        <v>515</v>
      </c>
    </row>
    <row r="53" spans="1:4">
      <c r="A53" s="40">
        <v>6</v>
      </c>
      <c r="B53" s="39" t="s">
        <v>590</v>
      </c>
      <c r="C53" s="41">
        <v>0.6</v>
      </c>
      <c r="D53" s="39" t="s">
        <v>622</v>
      </c>
    </row>
    <row r="54" spans="1:4">
      <c r="A54" s="40">
        <v>7</v>
      </c>
      <c r="B54" s="39" t="s">
        <v>591</v>
      </c>
      <c r="C54" s="41">
        <v>0</v>
      </c>
      <c r="D54" s="39" t="s">
        <v>515</v>
      </c>
    </row>
    <row r="55" spans="1:4">
      <c r="A55" s="40">
        <v>8</v>
      </c>
      <c r="B55" s="39" t="s">
        <v>591</v>
      </c>
      <c r="C55" s="41">
        <v>0.6</v>
      </c>
      <c r="D55" s="39" t="s">
        <v>622</v>
      </c>
    </row>
    <row r="56" spans="1:4">
      <c r="A56" s="40">
        <v>9</v>
      </c>
      <c r="B56" s="39" t="s">
        <v>592</v>
      </c>
      <c r="C56" s="41">
        <v>0</v>
      </c>
      <c r="D56" s="39" t="s">
        <v>515</v>
      </c>
    </row>
    <row r="57" spans="1:4">
      <c r="A57" s="40">
        <v>10</v>
      </c>
      <c r="B57" s="39" t="s">
        <v>592</v>
      </c>
      <c r="C57" s="41">
        <v>0.6</v>
      </c>
      <c r="D57" s="39" t="s">
        <v>622</v>
      </c>
    </row>
    <row r="58" spans="1:4">
      <c r="A58" s="40">
        <v>11</v>
      </c>
      <c r="B58" s="39" t="s">
        <v>593</v>
      </c>
      <c r="C58" s="41">
        <v>0</v>
      </c>
      <c r="D58" s="39" t="s">
        <v>622</v>
      </c>
    </row>
    <row r="59" spans="1:4">
      <c r="A59" s="40">
        <v>12</v>
      </c>
      <c r="B59" s="39" t="s">
        <v>593</v>
      </c>
      <c r="C59" s="41">
        <v>0.4</v>
      </c>
      <c r="D59" s="39" t="s">
        <v>623</v>
      </c>
    </row>
    <row r="60" spans="1:4">
      <c r="A60" s="40">
        <v>13</v>
      </c>
      <c r="B60" s="39" t="s">
        <v>593</v>
      </c>
      <c r="C60" s="41">
        <v>0.8</v>
      </c>
      <c r="D60" s="39" t="s">
        <v>624</v>
      </c>
    </row>
    <row r="61" spans="1:4">
      <c r="A61" s="40"/>
      <c r="B61" s="40"/>
      <c r="C61" s="40"/>
      <c r="D61" s="40"/>
    </row>
    <row r="71" spans="1:3">
      <c r="A71" s="42" t="s">
        <v>625</v>
      </c>
      <c r="B71" s="43"/>
      <c r="C71" s="43"/>
    </row>
    <row r="72" spans="1:3">
      <c r="A72" s="44" t="s">
        <v>554</v>
      </c>
      <c r="B72" s="44" t="s">
        <v>626</v>
      </c>
      <c r="C72" s="44" t="s">
        <v>584</v>
      </c>
    </row>
    <row r="73" spans="1:3">
      <c r="A73" s="45">
        <v>1</v>
      </c>
      <c r="B73" s="44" t="s">
        <v>627</v>
      </c>
      <c r="C73" s="45">
        <v>7</v>
      </c>
    </row>
    <row r="74" spans="1:3">
      <c r="A74" s="45">
        <v>2</v>
      </c>
      <c r="B74" s="45"/>
      <c r="C74" s="45"/>
    </row>
    <row r="75" spans="1:3">
      <c r="A75" s="45">
        <v>3</v>
      </c>
      <c r="B75" s="45"/>
      <c r="C75" s="45"/>
    </row>
    <row r="76" spans="1:3">
      <c r="A76" s="45">
        <v>4</v>
      </c>
      <c r="B76" s="45"/>
      <c r="C76" s="45"/>
    </row>
    <row r="77" spans="1:3">
      <c r="A77" s="45">
        <v>5</v>
      </c>
      <c r="B77" s="45"/>
      <c r="C77" s="4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0000"/>
  </sheetPr>
  <dimension ref="I2:R42"/>
  <sheetViews>
    <sheetView topLeftCell="B23" workbookViewId="0">
      <selection activeCell="B62" sqref="B62:C66"/>
    </sheetView>
  </sheetViews>
  <sheetFormatPr defaultColWidth="9" defaultRowHeight="13.5"/>
  <sheetData>
    <row r="2" ht="14.25"/>
    <row r="3" spans="9:18">
      <c r="I3" s="519" t="s">
        <v>3</v>
      </c>
      <c r="J3" s="33" t="s">
        <v>628</v>
      </c>
      <c r="K3" s="25"/>
      <c r="L3" s="25"/>
      <c r="M3" s="25"/>
      <c r="N3" s="25"/>
      <c r="O3" s="25"/>
      <c r="P3" s="25"/>
      <c r="Q3" s="26"/>
    </row>
    <row r="4" spans="9:18">
      <c r="I4" s="27"/>
      <c r="Q4" s="28"/>
    </row>
    <row r="5" spans="9:18">
      <c r="I5" s="520" t="s">
        <v>7</v>
      </c>
      <c r="J5" s="1" t="s">
        <v>629</v>
      </c>
      <c r="Q5" s="28"/>
    </row>
    <row r="6" spans="9:18">
      <c r="I6" s="27"/>
      <c r="K6" t="s">
        <v>630</v>
      </c>
      <c r="Q6" s="28"/>
    </row>
    <row r="7" spans="9:18">
      <c r="I7" s="27"/>
      <c r="K7" s="1" t="s">
        <v>631</v>
      </c>
      <c r="Q7" s="28"/>
    </row>
    <row r="8" spans="9:18">
      <c r="I8" s="27"/>
      <c r="K8" s="1" t="s">
        <v>632</v>
      </c>
      <c r="Q8" s="28"/>
    </row>
    <row r="9" spans="9:18">
      <c r="I9" s="27"/>
      <c r="L9" s="1" t="s">
        <v>633</v>
      </c>
      <c r="Q9" s="28"/>
    </row>
    <row r="10" spans="9:18">
      <c r="I10" s="27"/>
      <c r="Q10" s="28"/>
    </row>
    <row r="11" spans="9:18">
      <c r="I11" s="520" t="s">
        <v>11</v>
      </c>
      <c r="J11" s="1" t="s">
        <v>634</v>
      </c>
      <c r="Q11" s="28"/>
    </row>
    <row r="12" spans="9:18">
      <c r="I12" s="27"/>
      <c r="K12" t="s">
        <v>635</v>
      </c>
      <c r="Q12" s="28"/>
    </row>
    <row r="13" spans="9:18">
      <c r="I13" s="27"/>
      <c r="K13" s="1" t="s">
        <v>631</v>
      </c>
      <c r="Q13" s="28"/>
    </row>
    <row r="14" spans="9:18">
      <c r="I14" s="27"/>
      <c r="K14" s="1" t="s">
        <v>636</v>
      </c>
      <c r="Q14" s="28"/>
    </row>
    <row r="15" spans="9:18">
      <c r="I15" s="27"/>
      <c r="K15" s="16" t="s">
        <v>637</v>
      </c>
      <c r="L15" s="17"/>
      <c r="M15" s="17"/>
      <c r="N15" s="17"/>
      <c r="O15" s="17"/>
      <c r="P15" s="17"/>
      <c r="Q15" s="35"/>
      <c r="R15" s="17"/>
    </row>
    <row r="16" spans="9:18">
      <c r="I16" s="27"/>
      <c r="K16" s="16" t="s">
        <v>638</v>
      </c>
      <c r="L16" s="17"/>
      <c r="M16" s="17"/>
      <c r="N16" s="17"/>
      <c r="O16" s="17"/>
      <c r="Q16" s="28"/>
    </row>
    <row r="17" spans="9:17">
      <c r="I17" s="520" t="s">
        <v>15</v>
      </c>
      <c r="J17" s="1" t="s">
        <v>639</v>
      </c>
      <c r="Q17" s="28"/>
    </row>
    <row r="18" spans="9:17">
      <c r="I18" s="27"/>
      <c r="K18" s="1" t="s">
        <v>640</v>
      </c>
      <c r="Q18" s="28"/>
    </row>
    <row r="19" spans="9:17">
      <c r="I19" s="27"/>
      <c r="L19" s="1" t="s">
        <v>641</v>
      </c>
      <c r="Q19" s="28"/>
    </row>
    <row r="20" spans="9:17">
      <c r="I20" s="27"/>
      <c r="Q20" s="28"/>
    </row>
    <row r="21" spans="9:17">
      <c r="I21" s="27"/>
      <c r="K21" s="1" t="s">
        <v>642</v>
      </c>
      <c r="Q21" s="28"/>
    </row>
    <row r="22" spans="9:17">
      <c r="I22" s="27"/>
      <c r="Q22" s="28"/>
    </row>
    <row r="23" spans="9:17">
      <c r="I23" s="520" t="s">
        <v>18</v>
      </c>
      <c r="J23" s="1" t="s">
        <v>643</v>
      </c>
      <c r="Q23" s="28"/>
    </row>
    <row r="24" spans="9:17">
      <c r="I24" s="27"/>
      <c r="K24" s="1" t="s">
        <v>644</v>
      </c>
      <c r="Q24" s="28"/>
    </row>
    <row r="25" spans="9:17">
      <c r="I25" s="27"/>
      <c r="Q25" s="28"/>
    </row>
    <row r="26" spans="9:17">
      <c r="I26" s="27"/>
      <c r="Q26" s="28"/>
    </row>
    <row r="27" spans="9:17">
      <c r="I27" s="27"/>
      <c r="Q27" s="28"/>
    </row>
    <row r="28" spans="9:17">
      <c r="I28" s="27"/>
      <c r="Q28" s="28"/>
    </row>
    <row r="29" spans="9:17">
      <c r="I29" s="27"/>
      <c r="Q29" s="28"/>
    </row>
    <row r="30" spans="9:17">
      <c r="I30" s="27"/>
      <c r="Q30" s="28"/>
    </row>
    <row r="31" spans="9:17">
      <c r="I31" s="27"/>
      <c r="Q31" s="28"/>
    </row>
    <row r="32" spans="9:17">
      <c r="I32" s="27"/>
      <c r="Q32" s="28"/>
    </row>
    <row r="33" spans="9:17">
      <c r="I33" s="27"/>
      <c r="Q33" s="28"/>
    </row>
    <row r="34" spans="9:17">
      <c r="I34" s="27"/>
      <c r="Q34" s="28"/>
    </row>
    <row r="35" spans="9:17">
      <c r="I35" s="27"/>
      <c r="Q35" s="28"/>
    </row>
    <row r="36" spans="9:17">
      <c r="I36" s="27"/>
      <c r="Q36" s="28"/>
    </row>
    <row r="37" spans="9:17">
      <c r="I37" s="27"/>
      <c r="Q37" s="28"/>
    </row>
    <row r="38" spans="9:17">
      <c r="I38" s="27"/>
      <c r="Q38" s="28"/>
    </row>
    <row r="39" spans="9:17">
      <c r="I39" s="27"/>
      <c r="Q39" s="28"/>
    </row>
    <row r="40" spans="9:17">
      <c r="I40" s="27"/>
      <c r="Q40" s="28"/>
    </row>
    <row r="41" spans="9:17">
      <c r="I41" s="27"/>
      <c r="Q41" s="28"/>
    </row>
    <row r="42" ht="14.25" spans="9:17">
      <c r="I42" s="29"/>
      <c r="J42" s="30"/>
      <c r="K42" s="30"/>
      <c r="L42" s="30"/>
      <c r="M42" s="30"/>
      <c r="N42" s="30"/>
      <c r="O42" s="30"/>
      <c r="P42" s="30"/>
      <c r="Q42" s="3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7"/>
  <sheetViews>
    <sheetView topLeftCell="K12" workbookViewId="0">
      <selection activeCell="A1" sqref="A1:A21"/>
    </sheetView>
  </sheetViews>
  <sheetFormatPr defaultColWidth="9" defaultRowHeight="13.5"/>
  <cols>
    <col min="1" max="1" width="54" customWidth="1"/>
    <col min="4" max="4" width="12.5"/>
  </cols>
  <sheetData>
    <row r="1" ht="36.6" spans="1:16">
      <c r="A1" s="3" t="s">
        <v>645</v>
      </c>
      <c r="D1" t="str">
        <f>_xlfn.DISPIMG("ID_C867BE89B4F04B0C868763E8DD1CD45A",1)</f>
        <v>=DISPIMG("ID_C867BE89B4F04B0C868763E8DD1CD45A",1)</v>
      </c>
    </row>
    <row r="3" ht="37.7" spans="1:16">
      <c r="A3" s="3" t="s">
        <v>646</v>
      </c>
      <c r="D3" t="str">
        <f>_xlfn.DISPIMG("ID_85E91E88D9094E26BFE971ADD9762798",1)</f>
        <v>=DISPIMG("ID_85E91E88D9094E26BFE971ADD9762798",1)</v>
      </c>
      <c r="H3" s="4" t="s">
        <v>647</v>
      </c>
      <c r="I3" s="5">
        <v>27</v>
      </c>
      <c r="J3" s="6" t="s">
        <v>648</v>
      </c>
      <c r="O3" s="7" t="s">
        <v>60</v>
      </c>
    </row>
    <row r="4" ht="14.25" spans="1:16">
      <c r="H4" s="4" t="s">
        <v>649</v>
      </c>
      <c r="I4" s="5">
        <v>36</v>
      </c>
      <c r="J4" s="6" t="s">
        <v>650</v>
      </c>
    </row>
    <row r="5" spans="1:16">
      <c r="A5" s="3" t="s">
        <v>651</v>
      </c>
      <c r="H5" s="4" t="s">
        <v>652</v>
      </c>
      <c r="I5" s="8">
        <v>57</v>
      </c>
      <c r="J5" s="6" t="s">
        <v>653</v>
      </c>
    </row>
    <row r="7" spans="1:16">
      <c r="A7" s="3" t="s">
        <v>654</v>
      </c>
      <c r="H7" s="4" t="s">
        <v>655</v>
      </c>
      <c r="I7" s="8">
        <v>90</v>
      </c>
      <c r="J7" s="6" t="s">
        <v>656</v>
      </c>
      <c r="K7" s="1" t="s">
        <v>657</v>
      </c>
    </row>
    <row r="8" spans="1:16">
      <c r="H8" s="9" t="s">
        <v>658</v>
      </c>
      <c r="I8" s="10">
        <v>114</v>
      </c>
      <c r="J8" s="11" t="s">
        <v>659</v>
      </c>
    </row>
    <row r="9" spans="1:16">
      <c r="A9" s="3" t="s">
        <v>660</v>
      </c>
      <c r="H9" s="12" t="s">
        <v>661</v>
      </c>
      <c r="I9" s="13">
        <v>159</v>
      </c>
      <c r="J9" s="14" t="s">
        <v>662</v>
      </c>
    </row>
    <row r="10" spans="1:16">
      <c r="H10" s="9" t="s">
        <v>663</v>
      </c>
      <c r="I10" s="10">
        <v>144</v>
      </c>
      <c r="J10" s="11" t="s">
        <v>664</v>
      </c>
      <c r="K10" s="15" t="s">
        <v>598</v>
      </c>
      <c r="L10" s="16" t="s">
        <v>665</v>
      </c>
      <c r="M10" s="17"/>
      <c r="N10" s="16" t="s">
        <v>666</v>
      </c>
      <c r="O10" s="17"/>
    </row>
    <row r="11" spans="1:16">
      <c r="A11" s="3" t="s">
        <v>667</v>
      </c>
      <c r="H11" s="4" t="s">
        <v>668</v>
      </c>
      <c r="I11" s="8">
        <v>139</v>
      </c>
      <c r="J11" s="6" t="s">
        <v>669</v>
      </c>
      <c r="P11" s="1"/>
    </row>
    <row r="12" spans="1:16">
      <c r="H12" s="9" t="s">
        <v>661</v>
      </c>
      <c r="I12" s="10">
        <v>255</v>
      </c>
      <c r="J12" s="11" t="s">
        <v>670</v>
      </c>
      <c r="K12" s="15" t="s">
        <v>600</v>
      </c>
      <c r="L12" s="16" t="s">
        <v>671</v>
      </c>
      <c r="M12" s="17"/>
      <c r="N12" s="16" t="s">
        <v>672</v>
      </c>
      <c r="O12" s="17"/>
    </row>
    <row r="13" spans="1:16">
      <c r="A13" s="3" t="s">
        <v>673</v>
      </c>
      <c r="H13" s="4" t="s">
        <v>674</v>
      </c>
      <c r="I13" s="8">
        <v>70</v>
      </c>
      <c r="J13" s="18" t="s">
        <v>675</v>
      </c>
    </row>
    <row r="14" spans="1:16">
      <c r="H14" s="4" t="s">
        <v>676</v>
      </c>
      <c r="I14" s="8">
        <v>128</v>
      </c>
      <c r="J14" s="6" t="s">
        <v>677</v>
      </c>
    </row>
    <row r="15" spans="1:16">
      <c r="A15" s="3" t="s">
        <v>678</v>
      </c>
      <c r="H15" s="9" t="s">
        <v>679</v>
      </c>
      <c r="I15" s="10">
        <v>124</v>
      </c>
      <c r="J15" s="11" t="s">
        <v>680</v>
      </c>
      <c r="K15" s="19" t="s">
        <v>597</v>
      </c>
      <c r="L15" s="1" t="s">
        <v>681</v>
      </c>
      <c r="N15" s="1" t="s">
        <v>682</v>
      </c>
    </row>
    <row r="16" spans="1:16">
      <c r="H16" s="20" t="s">
        <v>683</v>
      </c>
      <c r="I16" s="10">
        <v>151</v>
      </c>
      <c r="J16" s="11" t="s">
        <v>684</v>
      </c>
    </row>
    <row r="17" spans="1:16">
      <c r="A17" s="3" t="s">
        <v>685</v>
      </c>
      <c r="H17" s="4" t="s">
        <v>686</v>
      </c>
      <c r="I17" s="8">
        <v>174</v>
      </c>
      <c r="J17" s="18" t="s">
        <v>687</v>
      </c>
    </row>
    <row r="18" spans="1:16">
      <c r="H18" s="4" t="s">
        <v>688</v>
      </c>
      <c r="I18" s="8">
        <v>166</v>
      </c>
      <c r="J18" s="6" t="s">
        <v>689</v>
      </c>
    </row>
    <row r="19" spans="1:16">
      <c r="A19" s="3" t="s">
        <v>690</v>
      </c>
      <c r="H19" s="4" t="s">
        <v>691</v>
      </c>
      <c r="I19" s="8">
        <v>237</v>
      </c>
      <c r="J19" s="6" t="s">
        <v>692</v>
      </c>
      <c r="P19" s="19" t="s">
        <v>601</v>
      </c>
    </row>
    <row r="20" spans="1:16">
      <c r="H20" s="4" t="s">
        <v>693</v>
      </c>
      <c r="I20" s="8">
        <v>200</v>
      </c>
      <c r="J20" s="6" t="s">
        <v>694</v>
      </c>
    </row>
    <row r="21" spans="1:16">
      <c r="A21" s="3" t="s">
        <v>695</v>
      </c>
      <c r="H21" s="4" t="s">
        <v>696</v>
      </c>
      <c r="I21" s="8">
        <v>219</v>
      </c>
      <c r="J21" s="18" t="s">
        <v>697</v>
      </c>
      <c r="P21" s="19" t="s">
        <v>605</v>
      </c>
    </row>
    <row r="22" spans="1:16">
      <c r="H22" s="9" t="s">
        <v>698</v>
      </c>
      <c r="I22" s="10">
        <v>480</v>
      </c>
      <c r="J22" s="11" t="s">
        <v>699</v>
      </c>
      <c r="P22" s="19" t="s">
        <v>594</v>
      </c>
    </row>
    <row r="23" spans="1:16">
      <c r="A23" s="3" t="s">
        <v>700</v>
      </c>
      <c r="H23" s="21" t="s">
        <v>701</v>
      </c>
      <c r="I23" s="10">
        <v>157</v>
      </c>
      <c r="J23" s="11" t="s">
        <v>702</v>
      </c>
      <c r="P23" s="19" t="s">
        <v>595</v>
      </c>
    </row>
    <row r="24" spans="1:16">
      <c r="H24" s="9" t="s">
        <v>703</v>
      </c>
      <c r="I24" s="10">
        <v>161</v>
      </c>
      <c r="J24" s="11" t="s">
        <v>704</v>
      </c>
      <c r="K24" s="19" t="s">
        <v>599</v>
      </c>
      <c r="L24" s="1" t="s">
        <v>705</v>
      </c>
      <c r="N24" s="1" t="s">
        <v>706</v>
      </c>
      <c r="P24" s="19" t="s">
        <v>596</v>
      </c>
    </row>
    <row r="25" spans="1:16">
      <c r="A25" s="3" t="s">
        <v>707</v>
      </c>
      <c r="H25" s="4" t="s">
        <v>708</v>
      </c>
      <c r="I25" s="8">
        <v>247</v>
      </c>
      <c r="J25" s="18" t="s">
        <v>709</v>
      </c>
    </row>
    <row r="26" spans="1:16">
      <c r="H26" s="22" t="s">
        <v>710</v>
      </c>
      <c r="I26" s="8">
        <v>159</v>
      </c>
      <c r="J26" s="6" t="s">
        <v>711</v>
      </c>
    </row>
    <row r="27" spans="1:16">
      <c r="A27" s="3" t="s">
        <v>712</v>
      </c>
      <c r="H27" s="22" t="s">
        <v>713</v>
      </c>
      <c r="I27" s="8">
        <v>226</v>
      </c>
      <c r="J27" s="6" t="s">
        <v>714</v>
      </c>
      <c r="P27" s="19" t="s">
        <v>607</v>
      </c>
    </row>
    <row r="28" spans="1:16">
      <c r="H28" s="4" t="s">
        <v>715</v>
      </c>
      <c r="I28" s="8">
        <v>287</v>
      </c>
      <c r="J28" s="6" t="s">
        <v>716</v>
      </c>
    </row>
    <row r="29" spans="1:16">
      <c r="A29" s="3" t="s">
        <v>717</v>
      </c>
      <c r="H29" s="9" t="s">
        <v>718</v>
      </c>
      <c r="I29" s="10">
        <v>212</v>
      </c>
      <c r="J29" s="11" t="s">
        <v>719</v>
      </c>
    </row>
    <row r="30" spans="1:16">
      <c r="H30" s="9" t="s">
        <v>720</v>
      </c>
      <c r="I30" s="10">
        <v>183</v>
      </c>
      <c r="J30" s="11" t="s">
        <v>721</v>
      </c>
      <c r="P30" s="19" t="s">
        <v>603</v>
      </c>
    </row>
    <row r="31" spans="1:16">
      <c r="A31" s="3" t="s">
        <v>722</v>
      </c>
      <c r="H31" s="12" t="s">
        <v>723</v>
      </c>
      <c r="I31" s="13">
        <v>0</v>
      </c>
      <c r="J31" s="14" t="s">
        <v>724</v>
      </c>
    </row>
    <row r="32" ht="14.25" spans="1:16">
      <c r="H32" s="23" t="s">
        <v>725</v>
      </c>
      <c r="I32" s="10">
        <v>0</v>
      </c>
      <c r="J32" s="11" t="s">
        <v>726</v>
      </c>
      <c r="K32" s="19" t="s">
        <v>593</v>
      </c>
      <c r="P32" s="19" t="s">
        <v>604</v>
      </c>
    </row>
    <row r="33" spans="9:20">
      <c r="P33" s="19" t="s">
        <v>602</v>
      </c>
    </row>
    <row r="35" spans="9:20">
      <c r="P35" s="1" t="s">
        <v>727</v>
      </c>
    </row>
    <row r="37" ht="14.25"/>
    <row r="38" spans="9:20">
      <c r="I38" s="24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/>
    </row>
    <row r="39" spans="9:20">
      <c r="I39" s="27"/>
      <c r="T39" s="28"/>
    </row>
    <row r="40" spans="9:20">
      <c r="I40" s="27"/>
      <c r="T40" s="28"/>
    </row>
    <row r="41" spans="9:20">
      <c r="I41" s="27"/>
      <c r="Q41" s="1" t="s">
        <v>469</v>
      </c>
      <c r="T41" s="28"/>
    </row>
    <row r="42" spans="9:20">
      <c r="I42" s="27">
        <v>1</v>
      </c>
      <c r="J42" s="19" t="s">
        <v>600</v>
      </c>
      <c r="K42" s="1" t="s">
        <v>671</v>
      </c>
      <c r="M42" s="1" t="s">
        <v>672</v>
      </c>
      <c r="Q42">
        <v>500</v>
      </c>
      <c r="R42">
        <v>1500</v>
      </c>
      <c r="S42">
        <v>1000</v>
      </c>
      <c r="T42" s="28"/>
    </row>
    <row r="43" spans="9:20">
      <c r="I43" s="27">
        <v>2</v>
      </c>
      <c r="J43" s="1" t="s">
        <v>728</v>
      </c>
      <c r="Q43">
        <v>500</v>
      </c>
      <c r="R43">
        <v>1000</v>
      </c>
      <c r="S43">
        <v>100000</v>
      </c>
      <c r="T43" s="28"/>
    </row>
    <row r="44" spans="9:20">
      <c r="I44" s="27">
        <v>3</v>
      </c>
      <c r="J44" s="1" t="s">
        <v>729</v>
      </c>
      <c r="Q44">
        <v>500</v>
      </c>
      <c r="R44">
        <v>1000</v>
      </c>
      <c r="S44">
        <v>100000</v>
      </c>
      <c r="T44" s="28"/>
    </row>
    <row r="45" spans="9:20">
      <c r="I45" s="27">
        <v>4</v>
      </c>
      <c r="J45" s="1" t="s">
        <v>730</v>
      </c>
      <c r="Q45">
        <v>500</v>
      </c>
      <c r="R45">
        <v>1000</v>
      </c>
      <c r="S45">
        <v>100000</v>
      </c>
      <c r="T45" s="28"/>
    </row>
    <row r="46" spans="9:20">
      <c r="I46" s="27">
        <v>5</v>
      </c>
      <c r="J46" s="1" t="s">
        <v>731</v>
      </c>
      <c r="Q46">
        <v>500</v>
      </c>
      <c r="R46">
        <v>1000</v>
      </c>
      <c r="S46">
        <v>100000</v>
      </c>
      <c r="T46" s="28"/>
    </row>
    <row r="47" spans="9:20">
      <c r="I47" s="27"/>
      <c r="Q47">
        <v>500</v>
      </c>
      <c r="R47">
        <v>1000</v>
      </c>
      <c r="S47">
        <v>100000</v>
      </c>
      <c r="T47" s="28"/>
    </row>
    <row r="48" spans="9:20">
      <c r="I48" s="27"/>
      <c r="Q48">
        <v>500</v>
      </c>
      <c r="R48">
        <v>1500</v>
      </c>
      <c r="S48">
        <v>200</v>
      </c>
      <c r="T48" s="28"/>
    </row>
    <row r="49" spans="4:20">
      <c r="I49" s="27"/>
      <c r="Q49">
        <v>500</v>
      </c>
      <c r="R49">
        <v>1500</v>
      </c>
      <c r="S49">
        <v>200</v>
      </c>
      <c r="T49" s="28"/>
    </row>
    <row r="50" spans="4:20">
      <c r="I50" s="27"/>
      <c r="Q50">
        <v>500</v>
      </c>
      <c r="R50">
        <v>1500</v>
      </c>
      <c r="S50">
        <v>200</v>
      </c>
      <c r="T50" s="28"/>
    </row>
    <row r="51" spans="4:20">
      <c r="I51" s="27"/>
      <c r="T51" s="28"/>
    </row>
    <row r="52" spans="4:20">
      <c r="D52">
        <v>1100551321</v>
      </c>
      <c r="I52" s="27"/>
      <c r="Q52">
        <v>1.2</v>
      </c>
      <c r="T52" s="28"/>
    </row>
    <row r="53" spans="4:20">
      <c r="I53" s="27"/>
      <c r="Q53" s="1" t="s">
        <v>487</v>
      </c>
      <c r="T53" s="28"/>
    </row>
    <row r="54" spans="4:20">
      <c r="I54" s="27"/>
      <c r="Q54">
        <f t="shared" ref="Q54:S54" si="0">Q42*$P$52</f>
        <v>0</v>
      </c>
      <c r="R54">
        <f t="shared" si="0"/>
        <v>0</v>
      </c>
      <c r="S54">
        <f t="shared" si="0"/>
        <v>0</v>
      </c>
      <c r="T54" s="28"/>
    </row>
    <row r="55" spans="4:20">
      <c r="I55" s="27"/>
      <c r="Q55">
        <f t="shared" ref="Q55:S55" si="1">Q43*$P$52</f>
        <v>0</v>
      </c>
      <c r="R55">
        <f t="shared" si="1"/>
        <v>0</v>
      </c>
      <c r="S55">
        <f t="shared" si="1"/>
        <v>0</v>
      </c>
      <c r="T55" s="28"/>
    </row>
    <row r="56" spans="4:20">
      <c r="I56" s="27"/>
      <c r="Q56">
        <f t="shared" ref="Q56:S56" si="2">Q44*$P$52</f>
        <v>0</v>
      </c>
      <c r="R56">
        <f t="shared" si="2"/>
        <v>0</v>
      </c>
      <c r="S56">
        <f t="shared" si="2"/>
        <v>0</v>
      </c>
      <c r="T56" s="28"/>
    </row>
    <row r="57" spans="4:20">
      <c r="I57" s="27"/>
      <c r="Q57">
        <f t="shared" ref="Q57:S57" si="3">Q45*$P$52</f>
        <v>0</v>
      </c>
      <c r="R57">
        <f t="shared" si="3"/>
        <v>0</v>
      </c>
      <c r="S57">
        <f t="shared" si="3"/>
        <v>0</v>
      </c>
      <c r="T57" s="28"/>
    </row>
    <row r="58" spans="4:20">
      <c r="I58" s="27"/>
      <c r="Q58">
        <f t="shared" ref="Q58:S58" si="4">Q46*$P$52</f>
        <v>0</v>
      </c>
      <c r="R58">
        <f t="shared" si="4"/>
        <v>0</v>
      </c>
      <c r="S58">
        <f t="shared" si="4"/>
        <v>0</v>
      </c>
      <c r="T58" s="28"/>
    </row>
    <row r="59" spans="4:20">
      <c r="I59" s="27"/>
      <c r="Q59">
        <f t="shared" ref="Q59:S59" si="5">Q47*$P$52</f>
        <v>0</v>
      </c>
      <c r="R59">
        <f t="shared" si="5"/>
        <v>0</v>
      </c>
      <c r="S59">
        <f t="shared" si="5"/>
        <v>0</v>
      </c>
      <c r="T59" s="28"/>
    </row>
    <row r="60" spans="4:20">
      <c r="I60" s="27"/>
      <c r="Q60">
        <f t="shared" ref="Q60:S60" si="6">Q48*$P$52</f>
        <v>0</v>
      </c>
      <c r="R60">
        <f t="shared" si="6"/>
        <v>0</v>
      </c>
      <c r="S60">
        <f t="shared" si="6"/>
        <v>0</v>
      </c>
      <c r="T60" s="28"/>
    </row>
    <row r="61" spans="4:20">
      <c r="I61" s="27"/>
      <c r="Q61">
        <f t="shared" ref="Q61:S61" si="7">Q49*$P$52</f>
        <v>0</v>
      </c>
      <c r="R61">
        <f t="shared" si="7"/>
        <v>0</v>
      </c>
      <c r="S61">
        <f t="shared" si="7"/>
        <v>0</v>
      </c>
      <c r="T61" s="28"/>
    </row>
    <row r="62" spans="4:20">
      <c r="I62" s="27"/>
      <c r="Q62">
        <f t="shared" ref="Q62:S62" si="8">Q50*$P$52</f>
        <v>0</v>
      </c>
      <c r="R62">
        <f t="shared" si="8"/>
        <v>0</v>
      </c>
      <c r="S62">
        <f t="shared" si="8"/>
        <v>0</v>
      </c>
      <c r="T62" s="28"/>
    </row>
    <row r="63" spans="4:20">
      <c r="I63" s="27"/>
      <c r="T63" s="28"/>
    </row>
    <row r="64" spans="4:20">
      <c r="I64" s="27"/>
      <c r="T64" s="28"/>
    </row>
    <row r="65" ht="14.25" spans="9:20">
      <c r="I65" s="29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1"/>
    </row>
    <row r="85" spans="7:7">
      <c r="G85">
        <v>1</v>
      </c>
    </row>
    <row r="86" spans="7:7">
      <c r="G86">
        <v>2</v>
      </c>
    </row>
    <row r="87" spans="7:7">
      <c r="G87">
        <v>3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87" etc:filterBottomFollowUsedRange="1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13:K28"/>
  <sheetViews>
    <sheetView tabSelected="1" topLeftCell="K16" workbookViewId="0">
      <selection activeCell="K24" sqref="K24:K28"/>
    </sheetView>
  </sheetViews>
  <sheetFormatPr defaultColWidth="9" defaultRowHeight="13.5"/>
  <cols>
    <col min="10" max="10" width="14" customWidth="1"/>
  </cols>
  <sheetData>
    <row r="13" spans="10:11">
      <c r="J13" t="s">
        <v>418</v>
      </c>
      <c r="K13" s="1" t="s">
        <v>426</v>
      </c>
    </row>
    <row r="14" spans="10:11">
      <c r="J14" t="s">
        <v>386</v>
      </c>
      <c r="K14">
        <v>700</v>
      </c>
    </row>
    <row r="15" spans="10:11">
      <c r="J15" t="s">
        <v>344</v>
      </c>
      <c r="K15">
        <v>250</v>
      </c>
    </row>
    <row r="16" spans="10:11">
      <c r="J16" t="s">
        <v>448</v>
      </c>
      <c r="K16" s="2">
        <v>0.15</v>
      </c>
    </row>
    <row r="17" spans="10:11">
      <c r="J17" t="s">
        <v>449</v>
      </c>
      <c r="K17" s="2">
        <v>0.15</v>
      </c>
    </row>
    <row r="18" spans="10:11">
      <c r="J18" t="s">
        <v>450</v>
      </c>
      <c r="K18" s="2">
        <v>0.15</v>
      </c>
    </row>
    <row r="19" spans="10:11">
      <c r="J19" t="s">
        <v>451</v>
      </c>
      <c r="K19" s="2">
        <v>0.15</v>
      </c>
    </row>
    <row r="20" spans="10:11">
      <c r="J20" t="s">
        <v>452</v>
      </c>
      <c r="K20" s="2">
        <v>0.15</v>
      </c>
    </row>
    <row r="21" spans="10:11">
      <c r="J21" t="s">
        <v>343</v>
      </c>
      <c r="K21">
        <v>15</v>
      </c>
    </row>
    <row r="22" spans="10:11">
      <c r="J22" t="s">
        <v>453</v>
      </c>
      <c r="K22" s="2">
        <v>0.1</v>
      </c>
    </row>
    <row r="23" spans="10:11">
      <c r="J23" t="s">
        <v>454</v>
      </c>
      <c r="K23">
        <v>120</v>
      </c>
    </row>
    <row r="24" spans="10:11">
      <c r="J24" t="s">
        <v>455</v>
      </c>
      <c r="K24" s="2">
        <v>0.12</v>
      </c>
    </row>
    <row r="25" spans="10:11">
      <c r="J25" t="s">
        <v>456</v>
      </c>
      <c r="K25" s="2">
        <v>0.12</v>
      </c>
    </row>
    <row r="26" spans="10:11">
      <c r="J26" t="s">
        <v>457</v>
      </c>
      <c r="K26" s="2">
        <v>0.12</v>
      </c>
    </row>
    <row r="27" spans="10:11">
      <c r="J27" t="s">
        <v>347</v>
      </c>
      <c r="K27" s="2">
        <v>0.12</v>
      </c>
    </row>
    <row r="28" spans="10:11">
      <c r="J28" t="s">
        <v>346</v>
      </c>
      <c r="K28" s="2">
        <v>0.12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dvExts xmlns="http://www.wps.cn/et/2023/dataValidationExt" xmlns:s="http://schemas.openxmlformats.org/spreadsheetml/2006/main">
  <dvExt uuid="{8de529af-3e70-4265-99f8-554e67881665}">
    <list multiSupport="0" colorSupport="1">
      <item index="0">
        <color s:rgb="FFF7C410"/>
      </item>
      <item index="1">
        <color s:rgb="FF30A4E4"/>
      </item>
      <item index="2">
        <color s:rgb="FF00BBBB"/>
      </item>
    </list>
  </dvExt>
</dvExts>
</file>

<file path=customXml/item2.xml><?xml version="1.0" encoding="utf-8"?>
<comments xmlns="https://web.wps.cn/et/2018/main" xmlns:s="http://schemas.openxmlformats.org/spreadsheetml/2006/main" xmlns:r="http://schemas.openxmlformats.org/officeDocument/2006/relationships">
  <commentList sheetStid="9">
    <commentChains s:ref="D2" rgbClr="FF0000">
      <unresolved>
        <commentChain chainId="3af296ab6fbffa2a1e6803419c6c1f0c91df1ec4">
          <item id="3064e89dbdb045ce5581626d56a4310d05ee0e4c" userID="400038424" userName="BKBK" dateTime="2024-11-21T06:14:16" isNormal="0">
            <s:text>
              <s:r>
                <s:t xml:space="preserve">以此确定装备的熔炼类型
青龙的武器都是一类
朱雀的武器都是一类</s:t>
              </s:r>
            </s:text>
          </item>
        </commentChain>
      </unresolved>
      <resolved/>
    </commentChains>
    <commentChains s:ref="E2" rgbClr="FF0000">
      <unresolved>
        <commentChain chainId="00b3a01ccbde367a1431fce3050509babeb05992">
          <item id="ce2445906e86930ade96efcb4d905e1dcf429a0c" userID="400038424" userName="BKBK" dateTime="2024-11-21T06:15:15" isNormal="0">
            <s:text>
              <s:r>
                <s:t xml:space="preserve">根据属性组配置好的固定基因填写数值
防止后期填错 减少维护风险</s:t>
              </s:r>
            </s:text>
          </item>
        </commentChain>
      </unresolved>
      <resolved/>
    </commentChains>
    <commentChains s:ref="N2" rgbClr="FF0000">
      <unresolved>
        <commentChain chainId="53cc1d4c34adca60666678110a92ba9a02aaf41e">
          <item id="6b9e1688e0476c371e113ea4868fe92d0e18d819" userID="400038424" userName="BKBK" dateTime="2024-11-21T06:17:00" isNormal="0">
            <s:text>
              <s:r>
                <s:t xml:space="preserve">决定此件装备的可用职业类型
例如前期武器仅投放16职业中的本职业词条
后期武器会有全部16职业
也可以调整概率</s:t>
              </s:r>
            </s:text>
          </item>
        </commentChain>
      </unresolved>
      <resolved/>
    </commentChains>
  </commentList>
</comments>
</file>

<file path=customXml/item3.xml><?xml version="1.0" encoding="utf-8"?>
<woProps xmlns="https://web.wps.cn/et/2018/main" xmlns:s="http://schemas.openxmlformats.org/spreadsheetml/2006/main">
  <woSheetsProps>
    <woSheetProps sheetStid="11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</woSheetsProps>
  <woBookProps>
    <bookSettings fileId="339045124588" isFilterShared="1" woEtMtcEnabled="0" coreConquerUserId="" isAutoUpdatePaused="0" filterType="conn" isMergeTasksAutoUpdate="0" isInserPicAsAttachment="0" supportDbFmlaDisp="0"/>
  </woBookProps>
</woProps>
</file>

<file path=customXml/item4.xml><?xml version="1.0" encoding="utf-8"?>
<pixelators xmlns="https://web.wps.cn/et/2018/main" xmlns:s="http://schemas.openxmlformats.org/spreadsheetml/2006/main">
  <pixelatorList sheetStid="11"/>
  <pixelatorList sheetStid="1"/>
  <pixelatorList sheetStid="6"/>
  <pixelatorList sheetStid="4"/>
  <pixelatorList sheetStid="15"/>
  <pixelatorList sheetStid="13"/>
  <pixelatorList sheetStid="7"/>
  <pixelatorList sheetStid="8"/>
  <pixelatorList sheetStid="2"/>
  <pixelatorList sheetStid="9"/>
  <pixelatorList sheetStid="12"/>
  <pixelatorList sheetStid="14"/>
  <pixelatorList sheetStid="16"/>
  <pixelatorList sheetStid="10"/>
</pixelators>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WWO_wpscloud_20260818174123-ed9259823c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需求</vt:lpstr>
      <vt:lpstr>案子</vt:lpstr>
      <vt:lpstr>熔炼属性池</vt:lpstr>
      <vt:lpstr>装备属性池</vt:lpstr>
      <vt:lpstr>无双吕布</vt:lpstr>
      <vt:lpstr>强化等级显示</vt:lpstr>
      <vt:lpstr>最大值参考</vt:lpstr>
      <vt:lpstr>词条掉落属性参考</vt:lpstr>
      <vt:lpstr>属性池</vt:lpstr>
      <vt:lpstr>表结构</vt:lpstr>
      <vt:lpstr>强化转移功能案子</vt:lpstr>
      <vt:lpstr>第二套</vt:lpstr>
      <vt:lpstr>Sheet13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</dc:creator>
  <cp:lastModifiedBy>杨明皓</cp:lastModifiedBy>
  <dcterms:created xsi:type="dcterms:W3CDTF">2024-11-10T22:39:00Z</dcterms:created>
  <dcterms:modified xsi:type="dcterms:W3CDTF">2024-12-03T01:18:00Z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7070258A53C244D0B3203A5C0B8D5BD4_13</vt:lpwstr>
  </property>
  <property fmtid="{D5CDD505-2E9C-101B-9397-08002B2CF9AE}" pid="3" name="KSOProductBuildVer">
    <vt:lpwstr>2052-12.9.0.28477</vt:lpwstr>
  </property>
  <property fmtid="{D5CDD505-2E9C-101B-9397-08002B2CF9AE}" pid="4" name="CalculationRule">
    <vt:i4>0</vt:i4>
  </property>
</Properties>
</file>