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72" yWindow="-252" windowWidth="19320" windowHeight="7848" activeTab="2"/>
  </bookViews>
  <sheets>
    <sheet name="Uncertainty Reduction" sheetId="1" r:id="rId1"/>
    <sheet name="Entropy Tree 2 Diseases" sheetId="2" r:id="rId2"/>
    <sheet name="Entropy Tree 9 Diseases " sheetId="3" r:id="rId3"/>
  </sheets>
  <calcPr calcId="125725"/>
</workbook>
</file>

<file path=xl/calcChain.xml><?xml version="1.0" encoding="utf-8"?>
<calcChain xmlns="http://schemas.openxmlformats.org/spreadsheetml/2006/main">
  <c r="H26" i="2"/>
  <c r="K22"/>
  <c r="L22"/>
  <c r="K29"/>
  <c r="L29"/>
  <c r="H37"/>
  <c r="K34"/>
  <c r="L34" s="1"/>
  <c r="K41"/>
  <c r="L41" s="1"/>
  <c r="O63" i="3"/>
  <c r="K63"/>
  <c r="F63"/>
  <c r="E63"/>
  <c r="H63" s="1"/>
  <c r="E17"/>
  <c r="O17" s="1"/>
  <c r="E16"/>
  <c r="E15"/>
  <c r="O15"/>
  <c r="E14"/>
  <c r="E13"/>
  <c r="O13" s="1"/>
  <c r="E12"/>
  <c r="E19" s="1"/>
  <c r="E11"/>
  <c r="O11"/>
  <c r="E10"/>
  <c r="H10"/>
  <c r="K10"/>
  <c r="O16"/>
  <c r="O14"/>
  <c r="O12"/>
  <c r="O10"/>
  <c r="O9"/>
  <c r="O19" s="1"/>
  <c r="K16"/>
  <c r="K15"/>
  <c r="K14"/>
  <c r="K12"/>
  <c r="K11"/>
  <c r="K9"/>
  <c r="H16"/>
  <c r="H15"/>
  <c r="H14"/>
  <c r="H12"/>
  <c r="H11"/>
  <c r="H9"/>
  <c r="L6" i="2"/>
  <c r="L8"/>
  <c r="L7"/>
  <c r="D22"/>
  <c r="D29"/>
  <c r="E29" s="1"/>
  <c r="B27" s="1"/>
  <c r="L11" s="1"/>
  <c r="L9"/>
  <c r="E22"/>
  <c r="I18" i="1"/>
  <c r="D22"/>
  <c r="I22" s="1"/>
  <c r="D20"/>
  <c r="I20" s="1"/>
  <c r="I23" s="1"/>
  <c r="D21"/>
  <c r="D19"/>
  <c r="E15"/>
  <c r="G15" s="1"/>
  <c r="E14"/>
  <c r="G14" s="1"/>
  <c r="F18"/>
  <c r="G18"/>
  <c r="F13"/>
  <c r="G13"/>
  <c r="F12"/>
  <c r="G12"/>
  <c r="G16"/>
  <c r="J26" i="2"/>
  <c r="I24" i="1" l="1"/>
  <c r="I26"/>
  <c r="I28"/>
  <c r="P12" i="3"/>
  <c r="Q12" s="1"/>
  <c r="P9"/>
  <c r="Q9" s="1"/>
  <c r="P16"/>
  <c r="Q16" s="1"/>
  <c r="P10"/>
  <c r="Q10" s="1"/>
  <c r="P15"/>
  <c r="Q15" s="1"/>
  <c r="P11"/>
  <c r="Q11" s="1"/>
  <c r="P14"/>
  <c r="Q14" s="1"/>
  <c r="G31" i="2"/>
  <c r="L12" s="1"/>
  <c r="J37"/>
  <c r="P17" i="3"/>
  <c r="Q17" s="1"/>
  <c r="L14" i="2"/>
  <c r="L16" s="1"/>
  <c r="P13" i="3"/>
  <c r="Q13" s="1"/>
  <c r="E64"/>
  <c r="F64"/>
  <c r="F20" i="1"/>
  <c r="G20" s="1"/>
  <c r="F22"/>
  <c r="G22" s="1"/>
  <c r="E16"/>
  <c r="H13" i="3"/>
  <c r="H19" s="1"/>
  <c r="H17"/>
  <c r="K13"/>
  <c r="K17"/>
  <c r="K64" l="1"/>
  <c r="O64"/>
  <c r="H64"/>
  <c r="H66" s="1"/>
  <c r="Q19"/>
  <c r="Q20" s="1"/>
  <c r="L17"/>
  <c r="M17" s="1"/>
  <c r="K19"/>
  <c r="L64" l="1"/>
  <c r="M64" s="1"/>
  <c r="K66"/>
  <c r="L63"/>
  <c r="M63" s="1"/>
  <c r="M66" s="1"/>
  <c r="L10"/>
  <c r="M10" s="1"/>
  <c r="L14"/>
  <c r="M14" s="1"/>
  <c r="L15"/>
  <c r="M15" s="1"/>
  <c r="L11"/>
  <c r="M11" s="1"/>
  <c r="L9"/>
  <c r="M9" s="1"/>
  <c r="L16"/>
  <c r="M16" s="1"/>
  <c r="L12"/>
  <c r="M12" s="1"/>
  <c r="P64"/>
  <c r="Q64" s="1"/>
  <c r="O66"/>
  <c r="Q67" s="1"/>
  <c r="P63"/>
  <c r="Q63" s="1"/>
  <c r="Q66" s="1"/>
  <c r="L13"/>
  <c r="M13" s="1"/>
  <c r="M19" l="1"/>
  <c r="M20" s="1"/>
  <c r="N23" s="1"/>
  <c r="L26" s="1"/>
  <c r="L30" s="1"/>
  <c r="M67"/>
  <c r="N70" s="1"/>
  <c r="L73" s="1"/>
  <c r="L77" s="1"/>
</calcChain>
</file>

<file path=xl/sharedStrings.xml><?xml version="1.0" encoding="utf-8"?>
<sst xmlns="http://schemas.openxmlformats.org/spreadsheetml/2006/main" count="239" uniqueCount="195">
  <si>
    <t>Sensitivity</t>
  </si>
  <si>
    <t>Specificity</t>
  </si>
  <si>
    <t>LR+</t>
  </si>
  <si>
    <t>LR-</t>
  </si>
  <si>
    <t>Probability</t>
  </si>
  <si>
    <t>Prior Dx probability</t>
  </si>
  <si>
    <t>Difference</t>
  </si>
  <si>
    <t>Pretest uncertainty</t>
  </si>
  <si>
    <t>Expected post test uncertainty</t>
  </si>
  <si>
    <t>A Clinical Decision Making Calculator.</t>
  </si>
  <si>
    <t>Proportion of original uncertainty this information could not be expected to address</t>
  </si>
  <si>
    <t>Odds</t>
  </si>
  <si>
    <t xml:space="preserve">  Post-test Uncertainty given positive test</t>
  </si>
  <si>
    <t xml:space="preserve">  Post-test Uncertainty given negative test</t>
  </si>
  <si>
    <t>Proportion of original uncertainty this information is expected to reduce</t>
  </si>
  <si>
    <t xml:space="preserve"> Probability of a positive test</t>
  </si>
  <si>
    <t>Dx  Probability given positive</t>
  </si>
  <si>
    <t xml:space="preserve"> Probability of a negative test</t>
  </si>
  <si>
    <t>William Benish explained to me the possible usefulness of uncertainty,</t>
  </si>
  <si>
    <t xml:space="preserve">as measured by entropy. </t>
  </si>
  <si>
    <t xml:space="preserve">The calculator has the usual inputs: pretest probability, sensitivity, and specificity, </t>
  </si>
  <si>
    <t>for a single condition that is either there or not there, and a single test that has two</t>
  </si>
  <si>
    <t xml:space="preserve">values, yes or no. </t>
  </si>
  <si>
    <t xml:space="preserve">  Expected reduction in uncertainty, for a set of diseases, or disease versus no disease.</t>
  </si>
  <si>
    <t xml:space="preserve">                                   </t>
  </si>
  <si>
    <t>or</t>
  </si>
  <si>
    <t xml:space="preserve">       The uncertainty associated with one disease state (Coombs, Dawes, &amp; Tversky, 1970).</t>
  </si>
  <si>
    <t>The summation is over the possible diseases, or in the simplest case</t>
  </si>
  <si>
    <t xml:space="preserve"> over having the disease and not having the disease.</t>
  </si>
  <si>
    <t xml:space="preserve">       The expected uncertainty associated with the post-finding (sign, symptom, or test result) probability</t>
  </si>
  <si>
    <t xml:space="preserve"> of a disease. The outer summation is over the possible values of the finding.</t>
  </si>
  <si>
    <t xml:space="preserve"> The inner summation is over the possible disease states, conditional on each finding.</t>
  </si>
  <si>
    <t xml:space="preserve">        The difference between the last two is the change in the expected uncertainty about the disease state,</t>
  </si>
  <si>
    <t xml:space="preserve"> that can be expected if we sought information about a finding or symptom (Benish, 1999, 2009).</t>
  </si>
  <si>
    <t>it would be better to get the information that most reduces the uncertainty.</t>
  </si>
  <si>
    <t xml:space="preserve"> If several types of information or test are available, each costs the same, and there is a limited budget, </t>
  </si>
  <si>
    <t>Robert M. Hamm, PhD</t>
  </si>
  <si>
    <t>Department of Family and Preventive Medicine</t>
  </si>
  <si>
    <t>University of Oklahoma Health Sciences Center</t>
  </si>
  <si>
    <t>www.fammed.ouhsc.edu/robhamm/cdmcalc.htm</t>
  </si>
  <si>
    <t xml:space="preserve">       The expected uncertainty associated with the prior probabilities of a set of diseases. </t>
  </si>
  <si>
    <t>Entropy Uncertainty.xlsx</t>
  </si>
  <si>
    <t xml:space="preserve">Notes. </t>
  </si>
  <si>
    <t>Dx Probability given negative</t>
  </si>
  <si>
    <t>Programmed October 24, 2010.</t>
  </si>
  <si>
    <t xml:space="preserve">November 2, 2010, I changed all the logs to base 2, at Benish's suggestion. </t>
  </si>
  <si>
    <t>Enter the data in the three outlined cells</t>
  </si>
  <si>
    <t>In the standard probability tree depicting changes in probability due to</t>
  </si>
  <si>
    <t xml:space="preserve">a test, by bayes' theorem, we can also measure the uncertainty using entropy. </t>
  </si>
  <si>
    <t>Entropy Tree: Calculation of Expected Uncertainty.</t>
  </si>
  <si>
    <t>Clinical Decision Making Program</t>
  </si>
  <si>
    <t>Department of Family Medicine, University of Oklahoma Health Sciences Center</t>
  </si>
  <si>
    <t>Enter values in these cells</t>
  </si>
  <si>
    <t>Pretest Probability of Disease</t>
  </si>
  <si>
    <t xml:space="preserve">In tree below, label branches (in dots): </t>
  </si>
  <si>
    <t>Probabilities of events appear in these boxes:</t>
  </si>
  <si>
    <t>Surprisal (entropy) will appear in these boxes</t>
  </si>
  <si>
    <t>Expected uncertainty will appear in these boxes:</t>
  </si>
  <si>
    <t>Tree "inverted" by Bayes' Theorem:</t>
  </si>
  <si>
    <t>Options</t>
  </si>
  <si>
    <t>Events</t>
  </si>
  <si>
    <t>Uncertainty</t>
  </si>
  <si>
    <t>Test result</t>
  </si>
  <si>
    <t>State of world</t>
  </si>
  <si>
    <t>= Information</t>
  </si>
  <si>
    <t>Event name</t>
  </si>
  <si>
    <t>Surprisal</t>
  </si>
  <si>
    <t>Test positive</t>
  </si>
  <si>
    <t>No test</t>
  </si>
  <si>
    <t>Entropy Uncertainty</t>
  </si>
  <si>
    <t>Given Positive Test</t>
  </si>
  <si>
    <t>Expected</t>
  </si>
  <si>
    <t>Entropy</t>
  </si>
  <si>
    <t>Test negative</t>
  </si>
  <si>
    <t>Given Negative Test</t>
  </si>
  <si>
    <t>Formulas:</t>
  </si>
  <si>
    <t>At any chance node, the probability of one branch is the complement</t>
  </si>
  <si>
    <t>of the probabilities at all the other branches.</t>
  </si>
  <si>
    <t>p(This branch) = 1 - Sum(p(each other branch)).</t>
  </si>
  <si>
    <t>Expected uncertainty of option = p(E1)*log(1/p(E1)) + p(E2)*log(1/p(E2))).</t>
  </si>
  <si>
    <t xml:space="preserve"> </t>
  </si>
  <si>
    <t>Clinical Decision Making Spreadsheet Calculator</t>
  </si>
  <si>
    <t>Department of Family Medicine</t>
  </si>
  <si>
    <t>Oklahoma City OK 73190</t>
  </si>
  <si>
    <t>405/271-8167</t>
  </si>
  <si>
    <t>Fax:  405/271-4125</t>
  </si>
  <si>
    <t>email:  rob-hamm@ouhsc.edu</t>
  </si>
  <si>
    <t>LR+/LR-</t>
  </si>
  <si>
    <t>Ratio</t>
  </si>
  <si>
    <t>Log(Odds) or Log(Ratio)</t>
  </si>
  <si>
    <t xml:space="preserve">November 17, 2010, I added "Odds Ratio" or LR+/LR-,  at Jef Van Den Ende's suggestion. </t>
  </si>
  <si>
    <t xml:space="preserve">   * Odds Ratio.  </t>
  </si>
  <si>
    <t>LR+ =</t>
  </si>
  <si>
    <t>Sens/(1-Spec)</t>
  </si>
  <si>
    <t>LR- =</t>
  </si>
  <si>
    <t>(1-Sens)/Spec</t>
  </si>
  <si>
    <t xml:space="preserve">LR+/LR- = </t>
  </si>
  <si>
    <t>[Sens * Spec] / [(1-Sens)*(1-Spec)]</t>
  </si>
  <si>
    <t>=</t>
  </si>
  <si>
    <t>Sens/(1-Sens)  *   Spec/(1-Spec)</t>
  </si>
  <si>
    <t xml:space="preserve">= </t>
  </si>
  <si>
    <t>Sens/(1-Sens)   /   (1-Spec)/Spec</t>
  </si>
  <si>
    <t>Which is the ratio of the odds of Test being Positive given Disease,</t>
  </si>
  <si>
    <t xml:space="preserve">   over the odds of Test being Positive given No Disease.</t>
  </si>
  <si>
    <t>Hence it is meaningful ratio of Odds.</t>
  </si>
  <si>
    <t>or "Odds Ratio"*</t>
  </si>
  <si>
    <t>Benish, W. A. (2009). Intuitive and axiomatic arguments for quantifying diagnostic test performance</t>
  </si>
  <si>
    <t xml:space="preserve"> in units of information. Methods Inf Med, 48(6), 552-557.</t>
  </si>
  <si>
    <t>Benish, W. A. (1999). Relative entropy as a measure of diagnostic information.</t>
  </si>
  <si>
    <t xml:space="preserve"> Med Decis Making, 19(2), 202-206.</t>
  </si>
  <si>
    <r>
      <t xml:space="preserve">Coombs, C. H., Dawes, R. M., &amp; Tversky, A. (1970). Information theory (Chapter 10) </t>
    </r>
    <r>
      <rPr>
        <i/>
        <sz val="12"/>
        <color indexed="8"/>
        <rFont val="Times New Roman"/>
        <family val="1"/>
      </rPr>
      <t xml:space="preserve">Mathematical </t>
    </r>
  </si>
  <si>
    <t>Psychology: An Elementary Introduction. Englewood Cliffs, NJ: Prentice-Hall, Inc.</t>
  </si>
  <si>
    <t>Initial Entropy Uncertainty</t>
  </si>
  <si>
    <t>Expected Entropy Uncertainty</t>
  </si>
  <si>
    <t xml:space="preserve">  given test</t>
  </si>
  <si>
    <t>Assumptions: You have a choice between two diagnoses.</t>
  </si>
  <si>
    <t>Sensitivity of Symp for Disease 1</t>
  </si>
  <si>
    <t>Sensitivity of Symp for Disease 2</t>
  </si>
  <si>
    <t>Odds D1, that is, p(D1)/p(D2)</t>
  </si>
  <si>
    <t>Likelihood Ratio, (LR+) / (LR -)</t>
  </si>
  <si>
    <t>Disease 2</t>
  </si>
  <si>
    <t>Disease 1</t>
  </si>
  <si>
    <t>Needed tables</t>
  </si>
  <si>
    <t>Pretest probabilities</t>
  </si>
  <si>
    <t>Dis 1</t>
  </si>
  <si>
    <t>Dis 2</t>
  </si>
  <si>
    <t>Dis 3</t>
  </si>
  <si>
    <t>Dis 4</t>
  </si>
  <si>
    <t>Dis 5</t>
  </si>
  <si>
    <t>Dis 6</t>
  </si>
  <si>
    <t>Dis 8</t>
  </si>
  <si>
    <t>Dis 9</t>
  </si>
  <si>
    <t>Dis 7</t>
  </si>
  <si>
    <t>From "lower matrix"</t>
  </si>
  <si>
    <t>total</t>
  </si>
  <si>
    <t>Sensitivity of</t>
  </si>
  <si>
    <t>Symp for Dis X</t>
  </si>
  <si>
    <t>From DDx Matrix</t>
  </si>
  <si>
    <t>Entropy Uncertainty Before Test</t>
  </si>
  <si>
    <t>Individual surprisals</t>
  </si>
  <si>
    <t>(prior to getting information)</t>
  </si>
  <si>
    <t>Expected Entropy Uncertainty after test</t>
  </si>
  <si>
    <t>If test is positive</t>
  </si>
  <si>
    <t>P test positive</t>
  </si>
  <si>
    <t>Surprisal if positive</t>
  </si>
  <si>
    <t>If test is negative</t>
  </si>
  <si>
    <t>p test negative</t>
  </si>
  <si>
    <t>Surprisal if negative</t>
  </si>
  <si>
    <t>Weighted</t>
  </si>
  <si>
    <t>Expected Entropy Uncertainty if we were to get the information</t>
  </si>
  <si>
    <t>Expected Reduction in Entropy Uncertainty</t>
  </si>
  <si>
    <t>Will, this is the number to go in the second column.</t>
  </si>
  <si>
    <t xml:space="preserve">Will, this is the number to go in the first column. </t>
  </si>
  <si>
    <t>Or should we do Expected Proportional Reduction in Entropy Uncertainty</t>
  </si>
  <si>
    <t>Formula or Source</t>
  </si>
  <si>
    <t xml:space="preserve">Column E, pretest probability. </t>
  </si>
  <si>
    <t>Get this from the bottom matrix in the balance beam program (or, wherever you get the bottom matrix numbers from).</t>
  </si>
  <si>
    <t>Column F, Sensitivity of symptom for disease.</t>
  </si>
  <si>
    <t xml:space="preserve">This is in the symptom's row of the DDx Matrix. </t>
  </si>
  <si>
    <t xml:space="preserve">Column H, individual surprisals of each disease. </t>
  </si>
  <si>
    <t>=p(Dis n)*log(1/p(Dis n)) or -p(Dis n)*log(p(Dis n))</t>
  </si>
  <si>
    <t>because log(1/p) = -log(p).   Do it in base 2:  log(p,2)</t>
  </si>
  <si>
    <t>Cell H 60, sum of individual surprisals</t>
  </si>
  <si>
    <t>P(Dis n|Test+)</t>
  </si>
  <si>
    <t>P(Dis n|Test-)</t>
  </si>
  <si>
    <t>Column K, chances that test is positive</t>
  </si>
  <si>
    <t>p(test + AND disease n) = p(test + |Dis n) * p(Dis n)</t>
  </si>
  <si>
    <t>Column L, p(Dis n) given test is positive</t>
  </si>
  <si>
    <t>p(test + AND disease n) / p(test +); denominator is sum for all the diseases</t>
  </si>
  <si>
    <t>Column M, surprisals given test is positive</t>
  </si>
  <si>
    <t>p(Dis n | test+)*log(1/p(Dis n | test+))</t>
  </si>
  <si>
    <t>Base 2, again.</t>
  </si>
  <si>
    <t>Column O, chances that test is negative</t>
  </si>
  <si>
    <t>Column P, p(Dis n) given test is negative</t>
  </si>
  <si>
    <t>Column Q, surprisals given test is negative</t>
  </si>
  <si>
    <t>p(test - AND disease n) = p(test - |Dis n) * p(Dis n)</t>
  </si>
  <si>
    <t>p(test - AND disease n) / p(test -); denominator is sum for all the diseases</t>
  </si>
  <si>
    <t>p(Dis n | test-)*log(1/p(Dis n | test-))</t>
  </si>
  <si>
    <t>Cell M 19, total surprisals, for when test is positive</t>
  </si>
  <si>
    <t>Cell M 20, expected surprisal, for when test is positive</t>
  </si>
  <si>
    <t>Cell K 19,  total chance test is positive</t>
  </si>
  <si>
    <t>Cell O 19,  total chance test is negative</t>
  </si>
  <si>
    <t>Cell P 19, total surprisals, for when test is negative</t>
  </si>
  <si>
    <t>Cell Q 20, expected surprisal, for when test is negative</t>
  </si>
  <si>
    <t>Cell N 23, expected surprisals, for when test is both negative and positive</t>
  </si>
  <si>
    <t>Cell L 30, (H19-N23)/H19</t>
  </si>
  <si>
    <t>Cell L 26, difference between H19 and N23.</t>
  </si>
  <si>
    <t>Note that this is different from "first versus all others", which I may have suggested was what Will should program, in an earlier memo.</t>
  </si>
  <si>
    <t xml:space="preserve">Prior entropy would be: </t>
  </si>
  <si>
    <t>All others</t>
  </si>
  <si>
    <t>Anticipated post symptom entropy would be</t>
  </si>
  <si>
    <t>Pretest Prob</t>
  </si>
  <si>
    <t>p test positive</t>
  </si>
  <si>
    <t>----------------</t>
  </si>
  <si>
    <t>And you have one symptom to learn about, which can be positive or negative.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</si>
</sst>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"/>
    <numFmt numFmtId="165" formatCode="0.00000"/>
    <numFmt numFmtId="166" formatCode="0.000000"/>
    <numFmt numFmtId="167" formatCode="0.0000"/>
  </numFmts>
  <fonts count="15"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0"/>
      <name val="Geneva"/>
    </font>
    <font>
      <sz val="14"/>
      <name val="Geneva"/>
    </font>
    <font>
      <sz val="12"/>
      <name val="Geneva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3" fontId="9" fillId="0" borderId="0" applyFont="0" applyFill="0" applyBorder="0" applyAlignment="0" applyProtection="0"/>
    <xf numFmtId="0" fontId="12" fillId="7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4" fillId="6" borderId="12" applyNumberFormat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4" fontId="14" fillId="2" borderId="12" xfId="5" applyNumberFormat="1" applyFill="1"/>
    <xf numFmtId="164" fontId="0" fillId="2" borderId="0" xfId="0" applyNumberFormat="1" applyFill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3" fillId="0" borderId="0" xfId="3" applyAlignment="1" applyProtection="1"/>
    <xf numFmtId="0" fontId="7" fillId="0" borderId="0" xfId="4" applyFont="1"/>
    <xf numFmtId="0" fontId="6" fillId="0" borderId="0" xfId="4"/>
    <xf numFmtId="0" fontId="6" fillId="0" borderId="0" xfId="4" applyFont="1"/>
    <xf numFmtId="0" fontId="6" fillId="0" borderId="1" xfId="4" applyBorder="1"/>
    <xf numFmtId="0" fontId="8" fillId="0" borderId="0" xfId="4" applyFont="1"/>
    <xf numFmtId="0" fontId="6" fillId="3" borderId="0" xfId="4" applyFill="1"/>
    <xf numFmtId="0" fontId="6" fillId="0" borderId="2" xfId="4" applyBorder="1"/>
    <xf numFmtId="0" fontId="6" fillId="0" borderId="3" xfId="4" applyFill="1" applyBorder="1"/>
    <xf numFmtId="0" fontId="6" fillId="0" borderId="4" xfId="4" applyBorder="1"/>
    <xf numFmtId="164" fontId="6" fillId="0" borderId="0" xfId="4" applyNumberFormat="1"/>
    <xf numFmtId="164" fontId="6" fillId="0" borderId="0" xfId="4" quotePrefix="1" applyNumberFormat="1"/>
    <xf numFmtId="164" fontId="6" fillId="3" borderId="0" xfId="4" applyNumberFormat="1" applyFill="1"/>
    <xf numFmtId="0" fontId="6" fillId="0" borderId="5" xfId="4" applyBorder="1"/>
    <xf numFmtId="164" fontId="6" fillId="0" borderId="2" xfId="4" applyNumberFormat="1" applyBorder="1"/>
    <xf numFmtId="0" fontId="6" fillId="0" borderId="6" xfId="4" applyBorder="1"/>
    <xf numFmtId="164" fontId="6" fillId="0" borderId="7" xfId="4" applyNumberFormat="1" applyBorder="1"/>
    <xf numFmtId="0" fontId="6" fillId="0" borderId="7" xfId="4" applyBorder="1"/>
    <xf numFmtId="0" fontId="6" fillId="3" borderId="0" xfId="4" applyFill="1" applyBorder="1"/>
    <xf numFmtId="0" fontId="6" fillId="0" borderId="8" xfId="4" applyBorder="1"/>
    <xf numFmtId="0" fontId="6" fillId="3" borderId="7" xfId="4" applyFill="1" applyBorder="1"/>
    <xf numFmtId="164" fontId="6" fillId="3" borderId="7" xfId="4" applyNumberFormat="1" applyFill="1" applyBorder="1"/>
    <xf numFmtId="164" fontId="6" fillId="0" borderId="9" xfId="4" applyNumberFormat="1" applyBorder="1"/>
    <xf numFmtId="0" fontId="6" fillId="0" borderId="10" xfId="4" applyBorder="1" applyAlignment="1">
      <alignment wrapText="1"/>
    </xf>
    <xf numFmtId="0" fontId="6" fillId="0" borderId="0" xfId="4" applyAlignment="1">
      <alignment wrapText="1"/>
    </xf>
    <xf numFmtId="164" fontId="6" fillId="3" borderId="11" xfId="4" applyNumberFormat="1" applyFill="1" applyBorder="1"/>
    <xf numFmtId="164" fontId="6" fillId="0" borderId="0" xfId="4" applyNumberFormat="1" applyBorder="1"/>
    <xf numFmtId="0" fontId="6" fillId="0" borderId="0" xfId="4" applyFill="1" applyBorder="1"/>
    <xf numFmtId="166" fontId="0" fillId="0" borderId="0" xfId="0" applyNumberFormat="1"/>
    <xf numFmtId="165" fontId="2" fillId="0" borderId="0" xfId="0" applyNumberFormat="1" applyFont="1"/>
    <xf numFmtId="0" fontId="0" fillId="0" borderId="0" xfId="0" quotePrefix="1"/>
    <xf numFmtId="2" fontId="6" fillId="0" borderId="0" xfId="4" applyNumberFormat="1"/>
    <xf numFmtId="0" fontId="6" fillId="4" borderId="0" xfId="4" applyFill="1"/>
    <xf numFmtId="0" fontId="0" fillId="4" borderId="0" xfId="0" applyFill="1"/>
    <xf numFmtId="0" fontId="12" fillId="7" borderId="0" xfId="2"/>
    <xf numFmtId="0" fontId="6" fillId="5" borderId="0" xfId="4" applyFill="1"/>
    <xf numFmtId="0" fontId="10" fillId="2" borderId="0" xfId="0" applyFont="1" applyFill="1"/>
    <xf numFmtId="0" fontId="10" fillId="2" borderId="0" xfId="2" applyFont="1" applyFill="1"/>
    <xf numFmtId="164" fontId="6" fillId="0" borderId="0" xfId="4" applyNumberFormat="1" applyFont="1"/>
    <xf numFmtId="164" fontId="6" fillId="0" borderId="7" xfId="4" applyNumberFormat="1" applyFont="1" applyBorder="1"/>
    <xf numFmtId="164" fontId="6" fillId="0" borderId="0" xfId="4" quotePrefix="1" applyNumberFormat="1" applyFont="1"/>
    <xf numFmtId="167" fontId="6" fillId="4" borderId="0" xfId="4" applyNumberFormat="1" applyFill="1"/>
    <xf numFmtId="167" fontId="6" fillId="5" borderId="0" xfId="1" applyNumberFormat="1" applyFont="1" applyFill="1"/>
    <xf numFmtId="0" fontId="6" fillId="0" borderId="0" xfId="4" applyBorder="1" applyAlignment="1">
      <alignment wrapText="1"/>
    </xf>
    <xf numFmtId="0" fontId="6" fillId="0" borderId="0" xfId="4" applyAlignment="1">
      <alignment wrapText="1"/>
    </xf>
  </cellXfs>
  <cellStyles count="6">
    <cellStyle name="Comma" xfId="1" builtinId="3"/>
    <cellStyle name="Good" xfId="2" builtinId="26"/>
    <cellStyle name="Hyperlink" xfId="3" builtinId="8"/>
    <cellStyle name="Normal" xfId="0" builtinId="0"/>
    <cellStyle name="Normal 2" xfId="4"/>
    <cellStyle name="Output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mmed.ouhsc.edu/robhamm/cdmcalc.htm" TargetMode="Externa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4"/>
  <sheetViews>
    <sheetView workbookViewId="0">
      <selection activeCell="E28" sqref="E28"/>
    </sheetView>
  </sheetViews>
  <sheetFormatPr defaultRowHeight="14.4"/>
  <cols>
    <col min="5" max="5" width="10.6640625" customWidth="1"/>
    <col min="6" max="6" width="12.88671875" customWidth="1"/>
    <col min="7" max="7" width="13.33203125" customWidth="1"/>
    <col min="8" max="8" width="5" customWidth="1"/>
    <col min="9" max="9" width="9.88671875" customWidth="1"/>
    <col min="10" max="10" width="34.6640625" customWidth="1"/>
  </cols>
  <sheetData>
    <row r="1" spans="1:7">
      <c r="A1" t="s">
        <v>41</v>
      </c>
      <c r="E1" t="s">
        <v>36</v>
      </c>
    </row>
    <row r="2" spans="1:7">
      <c r="A2" t="s">
        <v>9</v>
      </c>
      <c r="E2" t="s">
        <v>37</v>
      </c>
    </row>
    <row r="3" spans="1:7">
      <c r="E3" t="s">
        <v>38</v>
      </c>
    </row>
    <row r="4" spans="1:7">
      <c r="E4" s="12" t="s">
        <v>39</v>
      </c>
    </row>
    <row r="6" spans="1:7">
      <c r="A6" t="s">
        <v>47</v>
      </c>
    </row>
    <row r="7" spans="1:7">
      <c r="A7" t="s">
        <v>48</v>
      </c>
    </row>
    <row r="9" spans="1:7">
      <c r="D9" t="s">
        <v>46</v>
      </c>
    </row>
    <row r="10" spans="1:7" s="1" customFormat="1"/>
    <row r="11" spans="1:7">
      <c r="D11" t="s">
        <v>4</v>
      </c>
      <c r="E11" t="s">
        <v>88</v>
      </c>
      <c r="F11" t="s">
        <v>11</v>
      </c>
      <c r="G11" t="s">
        <v>89</v>
      </c>
    </row>
    <row r="12" spans="1:7">
      <c r="A12" t="s">
        <v>0</v>
      </c>
      <c r="D12" s="4">
        <v>0.75</v>
      </c>
      <c r="F12" s="3">
        <f>D12/(1-D12)</f>
        <v>3</v>
      </c>
      <c r="G12" s="3">
        <f>LOG(F12,2)</f>
        <v>1.5849625007211563</v>
      </c>
    </row>
    <row r="13" spans="1:7">
      <c r="A13" t="s">
        <v>1</v>
      </c>
      <c r="D13" s="4">
        <v>0.5</v>
      </c>
      <c r="F13" s="3">
        <f>D13/(1-D13)</f>
        <v>1</v>
      </c>
      <c r="G13" s="3">
        <f>LOG(F13,2)</f>
        <v>0</v>
      </c>
    </row>
    <row r="14" spans="1:7">
      <c r="A14" s="1" t="s">
        <v>2</v>
      </c>
      <c r="B14" s="1"/>
      <c r="C14" s="1"/>
      <c r="E14" s="5">
        <f>D12/(1-D13)</f>
        <v>1.5</v>
      </c>
      <c r="F14" s="3"/>
      <c r="G14" s="3">
        <f>LOG(E14,2)</f>
        <v>0.58496250072115619</v>
      </c>
    </row>
    <row r="15" spans="1:7">
      <c r="A15" t="s">
        <v>3</v>
      </c>
      <c r="E15" s="5">
        <f>(1-D12)/D13</f>
        <v>0.5</v>
      </c>
      <c r="F15" s="3"/>
      <c r="G15" s="3">
        <f>LOG(E15,2)</f>
        <v>-1</v>
      </c>
    </row>
    <row r="16" spans="1:7">
      <c r="A16" t="s">
        <v>87</v>
      </c>
      <c r="B16" t="s">
        <v>105</v>
      </c>
      <c r="E16" s="5">
        <f>E14/E15</f>
        <v>3</v>
      </c>
      <c r="F16" s="3"/>
      <c r="G16" s="3">
        <f>LOG(E14,2) - LOG(E15,2)</f>
        <v>1.5849625007211561</v>
      </c>
    </row>
    <row r="17" spans="1:10">
      <c r="F17" s="3"/>
      <c r="G17" s="3"/>
    </row>
    <row r="18" spans="1:10">
      <c r="A18" t="s">
        <v>5</v>
      </c>
      <c r="D18" s="4">
        <v>0.5</v>
      </c>
      <c r="F18" s="3">
        <f>D18/(1-D18)</f>
        <v>1</v>
      </c>
      <c r="G18" s="3">
        <f>LOG(F18,2)</f>
        <v>0</v>
      </c>
      <c r="I18" s="41">
        <f>-D18*LOG(D18,2)-(1-D18)*LOG(1-D18,2)</f>
        <v>1</v>
      </c>
      <c r="J18" s="6" t="s">
        <v>7</v>
      </c>
    </row>
    <row r="19" spans="1:10">
      <c r="A19" t="s">
        <v>15</v>
      </c>
      <c r="D19" s="3">
        <f>D18*D12+(1-D18)*(1-D13)</f>
        <v>0.625</v>
      </c>
      <c r="F19" s="3"/>
      <c r="G19" s="3"/>
      <c r="I19" s="8"/>
      <c r="J19" s="6"/>
    </row>
    <row r="20" spans="1:10">
      <c r="A20" t="s">
        <v>16</v>
      </c>
      <c r="D20" s="3">
        <f>D18*D12 /(D18*D12+(1-D18)*(1-D13))</f>
        <v>0.6</v>
      </c>
      <c r="E20" s="3"/>
      <c r="F20" s="3">
        <f>D20/(1-D20)</f>
        <v>1.4999999999999998</v>
      </c>
      <c r="G20" s="3">
        <f>LOG(F20,2)</f>
        <v>0.58496250072115596</v>
      </c>
      <c r="I20" s="7">
        <f>-D20*LOG(D20,2)-(1-D20)*LOG(1-D20,2)</f>
        <v>0.97095059445466858</v>
      </c>
      <c r="J20" s="1" t="s">
        <v>12</v>
      </c>
    </row>
    <row r="21" spans="1:10">
      <c r="A21" t="s">
        <v>17</v>
      </c>
      <c r="D21" s="3">
        <f>D18*(1-D12)+(1-D18)*D13</f>
        <v>0.375</v>
      </c>
      <c r="E21" s="3"/>
      <c r="F21" s="3"/>
      <c r="G21" s="3"/>
      <c r="I21" s="7"/>
      <c r="J21" s="1"/>
    </row>
    <row r="22" spans="1:10">
      <c r="A22" t="s">
        <v>43</v>
      </c>
      <c r="D22" s="40">
        <f>D18*(1-D12) /(D18*(1-D12)+(1-D18)*D13)</f>
        <v>0.33333333333333331</v>
      </c>
      <c r="E22" s="40"/>
      <c r="F22" s="3">
        <f>D22/(1-D22)</f>
        <v>0.49999999999999989</v>
      </c>
      <c r="G22" s="3">
        <f>LOG(F22,2)</f>
        <v>-1.0000000000000002</v>
      </c>
      <c r="I22" s="7">
        <f>-D22*LOG(D22,2)-(1-D22)*LOG(1-D22,2)</f>
        <v>0.91829583405448956</v>
      </c>
      <c r="J22" s="1" t="s">
        <v>13</v>
      </c>
    </row>
    <row r="23" spans="1:10">
      <c r="D23" s="3"/>
      <c r="E23" s="3"/>
      <c r="I23" s="41">
        <f>D19*I20+D21*I22</f>
        <v>0.95120505930460153</v>
      </c>
      <c r="J23" s="6" t="s">
        <v>8</v>
      </c>
    </row>
    <row r="24" spans="1:10">
      <c r="I24" s="41">
        <f>I18-I23</f>
        <v>4.879494069539847E-2</v>
      </c>
      <c r="J24" s="6" t="s">
        <v>6</v>
      </c>
    </row>
    <row r="26" spans="1:10" ht="43.2">
      <c r="I26" s="3">
        <f>I23/I18</f>
        <v>0.95120505930460153</v>
      </c>
      <c r="J26" s="2" t="s">
        <v>10</v>
      </c>
    </row>
    <row r="27" spans="1:10">
      <c r="J27" s="2"/>
    </row>
    <row r="28" spans="1:10" ht="28.8">
      <c r="I28" s="3">
        <f>(I18-I23)/I18</f>
        <v>4.879494069539847E-2</v>
      </c>
      <c r="J28" s="2" t="s">
        <v>14</v>
      </c>
    </row>
    <row r="29" spans="1:10">
      <c r="D29" s="3"/>
    </row>
    <row r="30" spans="1:10" s="2" customFormat="1" ht="18" customHeight="1">
      <c r="A30" t="s">
        <v>20</v>
      </c>
      <c r="B30"/>
      <c r="C30"/>
      <c r="D30"/>
      <c r="E30"/>
      <c r="F30"/>
      <c r="G30"/>
      <c r="H30"/>
      <c r="I30"/>
    </row>
    <row r="31" spans="1:10">
      <c r="A31" t="s">
        <v>21</v>
      </c>
    </row>
    <row r="32" spans="1:10">
      <c r="A32" t="s">
        <v>22</v>
      </c>
      <c r="H32" s="1"/>
      <c r="I32" s="1"/>
    </row>
    <row r="36" spans="1:4" ht="16.2">
      <c r="A36" s="9" t="s">
        <v>23</v>
      </c>
    </row>
    <row r="37" spans="1:4" ht="15.6">
      <c r="A37" s="10" t="s">
        <v>26</v>
      </c>
    </row>
    <row r="38" spans="1:4" ht="15.6">
      <c r="A38" s="10" t="s">
        <v>24</v>
      </c>
    </row>
    <row r="39" spans="1:4" ht="15.6">
      <c r="A39" s="10"/>
      <c r="D39" t="s">
        <v>25</v>
      </c>
    </row>
    <row r="40" spans="1:4" ht="15.6">
      <c r="A40" s="10"/>
    </row>
    <row r="41" spans="1:4" ht="15.6">
      <c r="A41" s="10" t="s">
        <v>40</v>
      </c>
    </row>
    <row r="42" spans="1:4" ht="15.6">
      <c r="A42" s="10" t="s">
        <v>27</v>
      </c>
    </row>
    <row r="43" spans="1:4" ht="15.6">
      <c r="A43" s="10" t="s">
        <v>28</v>
      </c>
    </row>
    <row r="44" spans="1:4" ht="15.6">
      <c r="A44" s="10"/>
    </row>
    <row r="45" spans="1:4" ht="15.6">
      <c r="A45" s="10"/>
    </row>
    <row r="46" spans="1:4" ht="15.6">
      <c r="A46" s="10"/>
    </row>
    <row r="47" spans="1:4" ht="15.6">
      <c r="A47" s="10" t="s">
        <v>29</v>
      </c>
    </row>
    <row r="48" spans="1:4" ht="15.6">
      <c r="A48" s="10" t="s">
        <v>30</v>
      </c>
    </row>
    <row r="49" spans="1:4" ht="15.6">
      <c r="A49" s="10" t="s">
        <v>31</v>
      </c>
    </row>
    <row r="53" spans="1:4">
      <c r="A53" t="s">
        <v>32</v>
      </c>
    </row>
    <row r="54" spans="1:4" ht="15.6">
      <c r="A54" t="s">
        <v>33</v>
      </c>
      <c r="B54" s="10"/>
    </row>
    <row r="59" spans="1:4">
      <c r="A59" t="s">
        <v>35</v>
      </c>
    </row>
    <row r="60" spans="1:4">
      <c r="A60" t="s">
        <v>34</v>
      </c>
    </row>
    <row r="62" spans="1:4">
      <c r="A62" t="s">
        <v>91</v>
      </c>
      <c r="C62" t="s">
        <v>92</v>
      </c>
      <c r="D62" t="s">
        <v>93</v>
      </c>
    </row>
    <row r="63" spans="1:4">
      <c r="C63" t="s">
        <v>94</v>
      </c>
      <c r="D63" t="s">
        <v>95</v>
      </c>
    </row>
    <row r="64" spans="1:4">
      <c r="C64" t="s">
        <v>96</v>
      </c>
      <c r="D64" t="s">
        <v>97</v>
      </c>
    </row>
    <row r="65" spans="1:4">
      <c r="C65" s="42" t="s">
        <v>98</v>
      </c>
      <c r="D65" t="s">
        <v>99</v>
      </c>
    </row>
    <row r="66" spans="1:4">
      <c r="C66" s="42" t="s">
        <v>100</v>
      </c>
      <c r="D66" t="s">
        <v>101</v>
      </c>
    </row>
    <row r="67" spans="1:4">
      <c r="C67" s="42"/>
      <c r="D67" t="s">
        <v>102</v>
      </c>
    </row>
    <row r="68" spans="1:4">
      <c r="C68" s="42"/>
      <c r="D68" t="s">
        <v>103</v>
      </c>
    </row>
    <row r="69" spans="1:4">
      <c r="D69" t="s">
        <v>104</v>
      </c>
    </row>
    <row r="71" spans="1:4" ht="15.6">
      <c r="A71" s="11" t="s">
        <v>108</v>
      </c>
    </row>
    <row r="72" spans="1:4" ht="15.6">
      <c r="A72" s="11"/>
      <c r="B72" t="s">
        <v>109</v>
      </c>
    </row>
    <row r="73" spans="1:4" ht="15.6">
      <c r="A73" s="11" t="s">
        <v>106</v>
      </c>
    </row>
    <row r="74" spans="1:4" ht="15.6">
      <c r="A74" s="11"/>
      <c r="B74" t="s">
        <v>107</v>
      </c>
    </row>
    <row r="75" spans="1:4" ht="15.6">
      <c r="A75" s="10" t="s">
        <v>110</v>
      </c>
    </row>
    <row r="76" spans="1:4">
      <c r="B76" t="s">
        <v>111</v>
      </c>
    </row>
    <row r="78" spans="1:4">
      <c r="A78" t="s">
        <v>42</v>
      </c>
      <c r="B78" t="s">
        <v>44</v>
      </c>
    </row>
    <row r="79" spans="1:4">
      <c r="B79" t="s">
        <v>18</v>
      </c>
    </row>
    <row r="80" spans="1:4">
      <c r="B80" t="s">
        <v>19</v>
      </c>
    </row>
    <row r="82" spans="2:2">
      <c r="B82" t="s">
        <v>45</v>
      </c>
    </row>
    <row r="84" spans="2:2">
      <c r="B84" t="s">
        <v>90</v>
      </c>
    </row>
  </sheetData>
  <phoneticPr fontId="11" type="noConversion"/>
  <hyperlinks>
    <hyperlink ref="E4" r:id="rId1"/>
  </hyperlinks>
  <pageMargins left="0.7" right="0.7" top="0.75" bottom="0.75" header="0.3" footer="0.3"/>
  <pageSetup orientation="portrait" r:id="rId2"/>
  <legacyDrawing r:id="rId3"/>
  <oleObjects>
    <oleObject progId="Equation.3" shapeId="1046" r:id="rId4"/>
    <oleObject progId="Equation.3" shapeId="1045" r:id="rId5"/>
    <oleObject progId="Equation.3" shapeId="1044" r:id="rId6"/>
    <oleObject progId="Equation.3" shapeId="1043" r:id="rId7"/>
    <oleObject progId="Equation.3" shapeId="1042" r:id="rId8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09"/>
  <sheetViews>
    <sheetView topLeftCell="C16" workbookViewId="0">
      <selection activeCell="O37" sqref="O37"/>
    </sheetView>
  </sheetViews>
  <sheetFormatPr defaultColWidth="11.5546875" defaultRowHeight="13.2"/>
  <cols>
    <col min="1" max="1" width="3.5546875" style="14" customWidth="1"/>
    <col min="2" max="2" width="11.5546875" style="14" customWidth="1"/>
    <col min="3" max="3" width="3.6640625" style="14" customWidth="1"/>
    <col min="4" max="4" width="15.44140625" style="14" customWidth="1"/>
    <col min="5" max="5" width="16.109375" style="14" customWidth="1"/>
    <col min="6" max="8" width="11.5546875" style="14" customWidth="1"/>
    <col min="9" max="9" width="10" style="14" customWidth="1"/>
    <col min="10" max="10" width="18.109375" style="14" customWidth="1"/>
    <col min="11" max="11" width="11.5546875" style="14" customWidth="1"/>
    <col min="12" max="12" width="14.6640625" style="14" customWidth="1"/>
    <col min="13" max="255" width="11.5546875" style="14" customWidth="1"/>
    <col min="256" max="16384" width="11.5546875" style="14"/>
  </cols>
  <sheetData>
    <row r="1" spans="1:13" ht="17.399999999999999">
      <c r="A1" s="13" t="s">
        <v>49</v>
      </c>
    </row>
    <row r="3" spans="1:13">
      <c r="A3" s="14" t="s">
        <v>50</v>
      </c>
    </row>
    <row r="4" spans="1:13">
      <c r="A4" s="14" t="s">
        <v>51</v>
      </c>
    </row>
    <row r="5" spans="1:13" ht="13.8" thickBot="1">
      <c r="H5" s="14" t="s">
        <v>52</v>
      </c>
    </row>
    <row r="6" spans="1:13" ht="18" thickBot="1">
      <c r="A6" s="13" t="s">
        <v>115</v>
      </c>
      <c r="B6" s="13"/>
      <c r="C6" s="13"/>
      <c r="D6" s="13"/>
      <c r="E6" s="13"/>
      <c r="F6" s="13"/>
      <c r="H6" s="16">
        <v>0.9</v>
      </c>
      <c r="I6" s="14" t="s">
        <v>53</v>
      </c>
      <c r="L6" s="43">
        <f>H6/(1-H6)</f>
        <v>9.0000000000000018</v>
      </c>
      <c r="M6" s="14" t="s">
        <v>118</v>
      </c>
    </row>
    <row r="7" spans="1:13" ht="15" thickBot="1">
      <c r="A7" s="15" t="s">
        <v>80</v>
      </c>
      <c r="B7" t="s">
        <v>194</v>
      </c>
      <c r="C7" s="15"/>
      <c r="D7" s="15"/>
      <c r="E7" s="15"/>
      <c r="F7" s="15"/>
      <c r="H7" s="16">
        <v>0.8</v>
      </c>
      <c r="I7" s="14" t="s">
        <v>116</v>
      </c>
      <c r="L7" s="43">
        <f>H7/(H8)</f>
        <v>1.142857142857143</v>
      </c>
      <c r="M7" s="14" t="s">
        <v>2</v>
      </c>
    </row>
    <row r="8" spans="1:13" ht="15" thickBot="1">
      <c r="A8" s="15"/>
      <c r="B8"/>
      <c r="C8" s="15"/>
      <c r="D8" s="15"/>
      <c r="E8" s="15"/>
      <c r="F8" s="15"/>
      <c r="H8" s="16">
        <v>0.7</v>
      </c>
      <c r="I8" s="14" t="s">
        <v>117</v>
      </c>
      <c r="L8" s="43">
        <f>(1-H7)/(1-H8)</f>
        <v>0.66666666666666641</v>
      </c>
      <c r="M8" s="14" t="s">
        <v>3</v>
      </c>
    </row>
    <row r="9" spans="1:13" ht="14.4">
      <c r="B9"/>
      <c r="L9" s="43">
        <f>L7/L8</f>
        <v>1.7142857142857153</v>
      </c>
      <c r="M9" s="14" t="s">
        <v>119</v>
      </c>
    </row>
    <row r="11" spans="1:13" ht="15.6" thickBot="1">
      <c r="A11" s="17" t="s">
        <v>54</v>
      </c>
      <c r="F11" s="18"/>
      <c r="L11" s="22">
        <f>B27</f>
        <v>0.46899559358928122</v>
      </c>
      <c r="M11" s="14" t="s">
        <v>112</v>
      </c>
    </row>
    <row r="12" spans="1:13" ht="14.4" thickTop="1" thickBot="1">
      <c r="A12" s="14" t="s">
        <v>55</v>
      </c>
      <c r="F12" s="19"/>
      <c r="L12" s="22">
        <f>G31</f>
        <v>0.46537722897970268</v>
      </c>
      <c r="M12" s="14" t="s">
        <v>113</v>
      </c>
    </row>
    <row r="13" spans="1:13" ht="14.4" thickTop="1" thickBot="1">
      <c r="M13" s="14" t="s">
        <v>114</v>
      </c>
    </row>
    <row r="14" spans="1:13" ht="14.4" thickTop="1" thickBot="1">
      <c r="A14" s="14" t="s">
        <v>56</v>
      </c>
      <c r="F14" s="20"/>
      <c r="L14" s="53">
        <f>L11-L12</f>
        <v>3.6183646095785393E-3</v>
      </c>
      <c r="M14" s="44" t="s">
        <v>150</v>
      </c>
    </row>
    <row r="15" spans="1:13" ht="13.8" thickTop="1">
      <c r="L15" s="53"/>
      <c r="M15" s="44" t="s">
        <v>152</v>
      </c>
    </row>
    <row r="16" spans="1:13" ht="15">
      <c r="A16" s="14" t="s">
        <v>57</v>
      </c>
      <c r="F16" s="21"/>
      <c r="H16" s="17" t="s">
        <v>58</v>
      </c>
      <c r="L16" s="54">
        <f>L14/L11</f>
        <v>7.7151356196904705E-3</v>
      </c>
      <c r="M16" s="47" t="s">
        <v>153</v>
      </c>
    </row>
    <row r="18" spans="2:12">
      <c r="B18" s="14" t="s">
        <v>59</v>
      </c>
      <c r="D18" s="14" t="s">
        <v>60</v>
      </c>
      <c r="E18" s="14" t="s">
        <v>61</v>
      </c>
      <c r="H18" s="14" t="s">
        <v>62</v>
      </c>
      <c r="K18" s="14" t="s">
        <v>63</v>
      </c>
      <c r="L18" s="14" t="s">
        <v>61</v>
      </c>
    </row>
    <row r="19" spans="2:12">
      <c r="G19" s="22"/>
      <c r="H19" s="23" t="s">
        <v>64</v>
      </c>
      <c r="I19" s="22"/>
      <c r="J19" s="22"/>
      <c r="K19" s="22"/>
    </row>
    <row r="20" spans="2:12">
      <c r="D20" s="14" t="s">
        <v>65</v>
      </c>
      <c r="G20" s="22"/>
      <c r="H20" s="22"/>
      <c r="I20" s="22"/>
      <c r="J20" s="22"/>
      <c r="K20" s="50" t="s">
        <v>121</v>
      </c>
      <c r="L20" s="14" t="s">
        <v>66</v>
      </c>
    </row>
    <row r="21" spans="2:12" ht="13.8" thickBot="1">
      <c r="D21" s="18" t="s">
        <v>121</v>
      </c>
      <c r="E21" s="18"/>
      <c r="G21" s="22"/>
      <c r="H21" s="22"/>
      <c r="I21" s="22"/>
      <c r="J21" s="22"/>
      <c r="K21" s="24"/>
    </row>
    <row r="22" spans="2:12" ht="14.4" thickTop="1" thickBot="1">
      <c r="D22" s="19">
        <f>H6</f>
        <v>0.9</v>
      </c>
      <c r="E22" s="25">
        <f>LOG(1/D22,2)</f>
        <v>0.15200309344505006</v>
      </c>
      <c r="G22" s="22"/>
      <c r="H22" s="22"/>
      <c r="I22" s="22"/>
      <c r="J22" s="22"/>
      <c r="K22" s="26">
        <f>H6*H7/(H6*H7+(1-H6)*(H8))</f>
        <v>0.91139240506329122</v>
      </c>
      <c r="L22" s="20">
        <f>LOG(1/K22,2)</f>
        <v>0.13385574673479042</v>
      </c>
    </row>
    <row r="23" spans="2:12" ht="13.8" thickTop="1">
      <c r="D23" s="27" t="s">
        <v>4</v>
      </c>
      <c r="E23" s="14" t="s">
        <v>66</v>
      </c>
      <c r="G23" s="22"/>
      <c r="H23" s="22"/>
      <c r="I23" s="22"/>
      <c r="J23" s="22"/>
      <c r="K23" s="28" t="s">
        <v>4</v>
      </c>
      <c r="L23" s="22" t="s">
        <v>66</v>
      </c>
    </row>
    <row r="24" spans="2:12">
      <c r="D24" s="29"/>
      <c r="G24" s="22"/>
      <c r="H24" s="22" t="s">
        <v>67</v>
      </c>
      <c r="I24" s="22"/>
      <c r="J24" s="22"/>
      <c r="K24" s="28"/>
    </row>
    <row r="25" spans="2:12" ht="13.8" thickBot="1">
      <c r="B25" s="14" t="s">
        <v>68</v>
      </c>
      <c r="D25" s="29"/>
      <c r="G25" s="22"/>
      <c r="H25" s="24"/>
      <c r="I25" s="22"/>
      <c r="K25" s="28"/>
    </row>
    <row r="26" spans="2:12" ht="14.4" thickTop="1" thickBot="1">
      <c r="B26" s="30"/>
      <c r="G26" s="22"/>
      <c r="H26" s="26">
        <f>H6*H7+(1-H6)*(H8)</f>
        <v>0.79</v>
      </c>
      <c r="I26" s="52" t="s">
        <v>193</v>
      </c>
      <c r="J26" s="14">
        <f>K22*L22+K29*L29</f>
        <v>0.43180499427520747</v>
      </c>
      <c r="K26" s="28"/>
    </row>
    <row r="27" spans="2:12" ht="13.8" thickTop="1">
      <c r="B27" s="31">
        <f>+E22*D22+E29*D29</f>
        <v>0.46899559358928122</v>
      </c>
      <c r="D27" s="29" t="s">
        <v>65</v>
      </c>
      <c r="G27" s="22"/>
      <c r="H27" s="28" t="s">
        <v>4</v>
      </c>
      <c r="I27" s="22"/>
      <c r="J27" s="14" t="s">
        <v>69</v>
      </c>
      <c r="K27" s="51" t="s">
        <v>120</v>
      </c>
    </row>
    <row r="28" spans="2:12" ht="13.8" thickBot="1">
      <c r="B28" s="55" t="s">
        <v>69</v>
      </c>
      <c r="D28" s="32" t="s">
        <v>120</v>
      </c>
      <c r="E28" s="18"/>
      <c r="G28" s="22"/>
      <c r="H28" s="28"/>
      <c r="I28" s="22"/>
      <c r="J28" s="14" t="s">
        <v>70</v>
      </c>
      <c r="K28" s="33"/>
    </row>
    <row r="29" spans="2:12" ht="14.4" thickTop="1" thickBot="1">
      <c r="B29" s="56"/>
      <c r="D29" s="19">
        <f>1-D22</f>
        <v>9.9999999999999978E-2</v>
      </c>
      <c r="E29" s="25">
        <f>LOG(1/D29,2)</f>
        <v>3.3219280948873626</v>
      </c>
      <c r="G29" s="22"/>
      <c r="H29" s="28"/>
      <c r="I29" s="22"/>
      <c r="J29" s="22"/>
      <c r="K29" s="26">
        <f>1-K22</f>
        <v>8.8607594936708778E-2</v>
      </c>
      <c r="L29" s="20">
        <f>LOG(1/K29,2)</f>
        <v>3.4964258261195007</v>
      </c>
    </row>
    <row r="30" spans="2:12" ht="13.8" thickTop="1">
      <c r="B30" s="56"/>
      <c r="D30" s="14" t="s">
        <v>4</v>
      </c>
      <c r="E30" s="14" t="s">
        <v>66</v>
      </c>
      <c r="G30" s="22"/>
      <c r="H30" s="28"/>
      <c r="I30" s="22"/>
      <c r="J30" s="22"/>
      <c r="K30" s="22" t="s">
        <v>4</v>
      </c>
      <c r="L30" s="22" t="s">
        <v>66</v>
      </c>
    </row>
    <row r="31" spans="2:12">
      <c r="G31" s="34">
        <f>H26*(K22*L22+K29*L29)+H37*(K34*L34+K41*L41)</f>
        <v>0.46537722897970268</v>
      </c>
      <c r="H31" s="28"/>
      <c r="I31" s="22"/>
      <c r="J31" s="22"/>
      <c r="K31" s="22"/>
    </row>
    <row r="32" spans="2:12">
      <c r="G32" s="35" t="s">
        <v>71</v>
      </c>
      <c r="H32" s="28"/>
      <c r="I32" s="22"/>
      <c r="J32" s="22"/>
      <c r="K32" s="50" t="s">
        <v>121</v>
      </c>
    </row>
    <row r="33" spans="1:13" ht="13.95" customHeight="1" thickBot="1">
      <c r="G33" s="36" t="s">
        <v>72</v>
      </c>
      <c r="H33" s="28"/>
      <c r="I33" s="22"/>
      <c r="J33" s="22"/>
      <c r="K33" s="24"/>
    </row>
    <row r="34" spans="1:13" ht="14.4" thickTop="1" thickBot="1">
      <c r="G34" s="36" t="s">
        <v>61</v>
      </c>
      <c r="H34" s="28"/>
      <c r="I34" s="22"/>
      <c r="J34" s="22"/>
      <c r="K34" s="26">
        <f>(H6*(1-H7))/(H6*(1-H7)+(1-H6)*(1-H8))</f>
        <v>0.8571428571428571</v>
      </c>
      <c r="L34" s="20">
        <f>LOG(1/K34,2)</f>
        <v>0.22239242133644802</v>
      </c>
    </row>
    <row r="35" spans="1:13" ht="13.8" thickTop="1">
      <c r="F35" s="15"/>
      <c r="H35" s="28" t="s">
        <v>73</v>
      </c>
      <c r="I35" s="22"/>
      <c r="J35" s="22"/>
      <c r="K35" s="28" t="s">
        <v>4</v>
      </c>
      <c r="L35" s="22" t="s">
        <v>66</v>
      </c>
    </row>
    <row r="36" spans="1:13" ht="13.8" thickBot="1">
      <c r="G36" s="22"/>
      <c r="H36" s="37"/>
      <c r="I36" s="22"/>
      <c r="J36" s="22"/>
      <c r="K36" s="28"/>
    </row>
    <row r="37" spans="1:13" ht="14.4" thickTop="1" thickBot="1">
      <c r="G37" s="22"/>
      <c r="H37" s="26">
        <f>H6*(1-H7)+(1-H6)*(1-H8)</f>
        <v>0.20999999999999996</v>
      </c>
      <c r="I37" s="52" t="s">
        <v>193</v>
      </c>
      <c r="J37" s="14">
        <f>K34*L34+K41*L41</f>
        <v>0.59167277858232747</v>
      </c>
      <c r="K37" s="28"/>
    </row>
    <row r="38" spans="1:13" ht="13.8" thickTop="1">
      <c r="G38" s="22"/>
      <c r="H38" s="38" t="s">
        <v>4</v>
      </c>
      <c r="I38" s="22"/>
      <c r="J38" s="14" t="s">
        <v>69</v>
      </c>
      <c r="K38" s="28"/>
    </row>
    <row r="39" spans="1:13">
      <c r="G39" s="22"/>
      <c r="H39" s="22"/>
      <c r="I39" s="22"/>
      <c r="J39" s="14" t="s">
        <v>74</v>
      </c>
      <c r="K39" s="51" t="s">
        <v>120</v>
      </c>
    </row>
    <row r="40" spans="1:13" ht="13.8" thickBot="1">
      <c r="G40" s="22"/>
      <c r="H40" s="22"/>
      <c r="I40" s="22"/>
      <c r="J40" s="22"/>
      <c r="K40" s="37"/>
    </row>
    <row r="41" spans="1:13" ht="14.4" thickTop="1" thickBot="1">
      <c r="G41" s="22"/>
      <c r="H41" s="22"/>
      <c r="I41" s="22"/>
      <c r="J41" s="22"/>
      <c r="K41" s="26">
        <f>1-K34</f>
        <v>0.1428571428571429</v>
      </c>
      <c r="L41" s="20">
        <f>LOG(1/K41,2)</f>
        <v>2.8073549220576037</v>
      </c>
    </row>
    <row r="42" spans="1:13" ht="13.8" thickTop="1">
      <c r="G42" s="22"/>
      <c r="H42" s="22"/>
      <c r="I42" s="22"/>
      <c r="J42" s="22"/>
      <c r="K42" s="22" t="s">
        <v>4</v>
      </c>
      <c r="L42" s="22" t="s">
        <v>66</v>
      </c>
    </row>
    <row r="43" spans="1:13">
      <c r="A43" s="14" t="s">
        <v>75</v>
      </c>
      <c r="M43" s="22"/>
    </row>
    <row r="44" spans="1:13">
      <c r="B44" s="14" t="s">
        <v>76</v>
      </c>
      <c r="M44" s="22"/>
    </row>
    <row r="45" spans="1:13">
      <c r="B45" s="14" t="s">
        <v>77</v>
      </c>
      <c r="M45" s="39"/>
    </row>
    <row r="46" spans="1:13">
      <c r="B46" s="14" t="s">
        <v>78</v>
      </c>
      <c r="L46" s="22"/>
    </row>
    <row r="47" spans="1:13">
      <c r="B47" s="14" t="s">
        <v>79</v>
      </c>
      <c r="E47" s="15"/>
      <c r="M47" s="14" t="s">
        <v>80</v>
      </c>
    </row>
    <row r="52" spans="1:1">
      <c r="A52" s="14" t="s">
        <v>81</v>
      </c>
    </row>
    <row r="54" spans="1:1">
      <c r="A54" s="14" t="s">
        <v>36</v>
      </c>
    </row>
    <row r="55" spans="1:1">
      <c r="A55" s="14" t="s">
        <v>50</v>
      </c>
    </row>
    <row r="56" spans="1:1">
      <c r="A56" s="14" t="s">
        <v>82</v>
      </c>
    </row>
    <row r="57" spans="1:1">
      <c r="A57" s="14" t="s">
        <v>38</v>
      </c>
    </row>
    <row r="58" spans="1:1">
      <c r="A58" s="14" t="s">
        <v>83</v>
      </c>
    </row>
    <row r="59" spans="1:1">
      <c r="A59" s="14" t="s">
        <v>84</v>
      </c>
    </row>
    <row r="60" spans="1:1">
      <c r="A60" s="14" t="s">
        <v>85</v>
      </c>
    </row>
    <row r="61" spans="1:1">
      <c r="A61" s="14" t="s">
        <v>86</v>
      </c>
    </row>
    <row r="71" spans="4:9" ht="14.4">
      <c r="D71"/>
      <c r="E71"/>
      <c r="F71"/>
      <c r="G71"/>
      <c r="H71"/>
      <c r="I71"/>
    </row>
    <row r="72" spans="4:9" ht="14.4">
      <c r="D72"/>
      <c r="E72"/>
      <c r="F72"/>
      <c r="G72"/>
      <c r="H72"/>
      <c r="I72"/>
    </row>
    <row r="73" spans="4:9" ht="14.4">
      <c r="D73"/>
      <c r="E73"/>
      <c r="F73"/>
      <c r="G73"/>
      <c r="H73"/>
      <c r="I73"/>
    </row>
    <row r="74" spans="4:9" ht="14.4">
      <c r="D74"/>
      <c r="E74"/>
      <c r="F74"/>
      <c r="G74"/>
      <c r="H74"/>
      <c r="I74"/>
    </row>
    <row r="75" spans="4:9" ht="14.4">
      <c r="D75"/>
      <c r="E75"/>
      <c r="F75"/>
      <c r="G75"/>
      <c r="H75"/>
      <c r="I75"/>
    </row>
    <row r="76" spans="4:9" ht="14.4">
      <c r="D76"/>
      <c r="E76"/>
      <c r="F76"/>
      <c r="G76"/>
      <c r="H76"/>
      <c r="I76"/>
    </row>
    <row r="77" spans="4:9" ht="14.4">
      <c r="D77"/>
      <c r="E77"/>
      <c r="F77"/>
      <c r="G77"/>
      <c r="H77"/>
      <c r="I77"/>
    </row>
    <row r="78" spans="4:9" ht="14.4">
      <c r="D78"/>
      <c r="E78"/>
      <c r="F78"/>
      <c r="G78"/>
      <c r="H78"/>
      <c r="I78"/>
    </row>
    <row r="79" spans="4:9" ht="14.4">
      <c r="D79"/>
      <c r="E79"/>
      <c r="F79"/>
      <c r="G79"/>
      <c r="H79"/>
      <c r="I79"/>
    </row>
    <row r="80" spans="4:9" ht="14.4">
      <c r="D80"/>
      <c r="E80"/>
      <c r="F80"/>
      <c r="G80"/>
      <c r="H80"/>
      <c r="I80"/>
    </row>
    <row r="81" spans="4:9" ht="14.4">
      <c r="D81"/>
      <c r="E81"/>
      <c r="F81"/>
      <c r="G81"/>
      <c r="H81"/>
      <c r="I81"/>
    </row>
    <row r="82" spans="4:9" ht="14.4">
      <c r="D82"/>
      <c r="E82"/>
      <c r="F82"/>
      <c r="G82"/>
      <c r="H82"/>
      <c r="I82"/>
    </row>
    <row r="83" spans="4:9" ht="14.4">
      <c r="D83"/>
      <c r="E83"/>
      <c r="F83"/>
      <c r="G83"/>
      <c r="H83"/>
      <c r="I83"/>
    </row>
    <row r="84" spans="4:9" ht="14.4">
      <c r="D84"/>
      <c r="E84"/>
      <c r="F84"/>
      <c r="G84"/>
      <c r="H84"/>
      <c r="I84"/>
    </row>
    <row r="85" spans="4:9" ht="14.4">
      <c r="D85"/>
      <c r="E85"/>
      <c r="F85"/>
      <c r="G85"/>
      <c r="H85"/>
      <c r="I85"/>
    </row>
    <row r="86" spans="4:9" ht="14.4">
      <c r="D86"/>
      <c r="E86"/>
      <c r="F86"/>
      <c r="G86"/>
      <c r="H86"/>
      <c r="I86"/>
    </row>
    <row r="87" spans="4:9" ht="14.4">
      <c r="D87"/>
      <c r="E87"/>
      <c r="F87"/>
      <c r="G87"/>
      <c r="H87"/>
      <c r="I87"/>
    </row>
    <row r="88" spans="4:9" ht="14.4">
      <c r="D88"/>
      <c r="E88"/>
      <c r="F88"/>
      <c r="G88"/>
      <c r="H88"/>
      <c r="I88"/>
    </row>
    <row r="89" spans="4:9" ht="14.4">
      <c r="D89"/>
      <c r="E89"/>
      <c r="F89"/>
      <c r="G89"/>
      <c r="H89"/>
      <c r="I89"/>
    </row>
    <row r="90" spans="4:9" ht="14.4">
      <c r="D90"/>
      <c r="E90"/>
      <c r="F90"/>
      <c r="G90"/>
      <c r="H90"/>
      <c r="I90"/>
    </row>
    <row r="91" spans="4:9" ht="14.4">
      <c r="D91"/>
      <c r="E91"/>
      <c r="F91"/>
      <c r="G91"/>
      <c r="H91"/>
      <c r="I91"/>
    </row>
    <row r="92" spans="4:9" ht="14.4">
      <c r="D92"/>
      <c r="E92"/>
      <c r="F92"/>
      <c r="G92"/>
      <c r="H92"/>
      <c r="I92"/>
    </row>
    <row r="93" spans="4:9" ht="14.4">
      <c r="D93"/>
      <c r="E93"/>
      <c r="F93"/>
      <c r="G93"/>
      <c r="H93"/>
      <c r="I93"/>
    </row>
    <row r="94" spans="4:9" ht="14.4">
      <c r="D94"/>
      <c r="E94"/>
      <c r="F94"/>
      <c r="G94"/>
      <c r="H94"/>
      <c r="I94"/>
    </row>
    <row r="95" spans="4:9" ht="14.4">
      <c r="D95"/>
      <c r="E95"/>
      <c r="F95"/>
      <c r="G95"/>
      <c r="H95"/>
      <c r="I95"/>
    </row>
    <row r="96" spans="4:9" ht="14.4">
      <c r="D96"/>
      <c r="E96"/>
      <c r="F96"/>
      <c r="G96"/>
      <c r="H96"/>
      <c r="I96"/>
    </row>
    <row r="97" spans="4:9" ht="14.4">
      <c r="D97"/>
      <c r="E97"/>
      <c r="F97"/>
      <c r="G97"/>
      <c r="H97"/>
      <c r="I97"/>
    </row>
    <row r="98" spans="4:9" ht="14.4">
      <c r="D98"/>
      <c r="E98"/>
      <c r="F98"/>
      <c r="G98"/>
      <c r="H98"/>
      <c r="I98"/>
    </row>
    <row r="99" spans="4:9" ht="14.4">
      <c r="D99"/>
      <c r="E99"/>
      <c r="F99"/>
      <c r="G99"/>
      <c r="H99"/>
      <c r="I99"/>
    </row>
    <row r="100" spans="4:9" ht="14.4">
      <c r="D100"/>
      <c r="E100"/>
      <c r="F100"/>
      <c r="G100"/>
      <c r="H100"/>
      <c r="I100"/>
    </row>
    <row r="101" spans="4:9" ht="14.4">
      <c r="D101"/>
      <c r="E101"/>
      <c r="F101"/>
      <c r="G101"/>
      <c r="H101"/>
      <c r="I101"/>
    </row>
    <row r="102" spans="4:9" ht="14.4">
      <c r="D102"/>
      <c r="E102"/>
      <c r="F102"/>
      <c r="G102"/>
      <c r="H102"/>
      <c r="I102"/>
    </row>
    <row r="103" spans="4:9" ht="14.4">
      <c r="D103"/>
      <c r="E103"/>
      <c r="F103"/>
      <c r="G103"/>
      <c r="H103"/>
      <c r="I103"/>
    </row>
    <row r="104" spans="4:9" ht="14.4">
      <c r="D104"/>
      <c r="E104"/>
      <c r="F104"/>
      <c r="G104"/>
      <c r="H104"/>
      <c r="I104"/>
    </row>
    <row r="105" spans="4:9" ht="14.4">
      <c r="D105"/>
      <c r="E105"/>
      <c r="F105"/>
      <c r="G105"/>
      <c r="H105"/>
      <c r="I105"/>
    </row>
    <row r="106" spans="4:9" ht="14.4">
      <c r="D106"/>
      <c r="E106"/>
      <c r="F106"/>
      <c r="G106"/>
      <c r="H106"/>
      <c r="I106"/>
    </row>
    <row r="107" spans="4:9" ht="14.4">
      <c r="D107"/>
      <c r="E107"/>
      <c r="F107"/>
      <c r="G107"/>
      <c r="H107"/>
      <c r="I107"/>
    </row>
    <row r="108" spans="4:9" ht="14.4">
      <c r="D108"/>
      <c r="E108"/>
      <c r="F108"/>
      <c r="G108"/>
      <c r="H108"/>
      <c r="I108"/>
    </row>
    <row r="109" spans="4:9" ht="14.4">
      <c r="D109"/>
      <c r="E109"/>
      <c r="F109"/>
      <c r="G109"/>
      <c r="H109"/>
      <c r="I109"/>
    </row>
  </sheetData>
  <mergeCells count="1">
    <mergeCell ref="B28:B30"/>
  </mergeCells>
  <phoneticPr fontId="11" type="noConversion"/>
  <pageMargins left="0.75" right="0.75" top="1" bottom="1" header="0.5" footer="0.5"/>
  <pageSetup scale="54" orientation="landscape" verticalDpi="0" r:id="rId1"/>
  <headerFooter alignWithMargins="0">
    <oddHeader>&amp;F</oddHeader>
    <oddFooter>Page &amp;P</oddFooter>
  </headerFooter>
  <rowBreaks count="1" manualBreakCount="1">
    <brk id="50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77"/>
  <sheetViews>
    <sheetView tabSelected="1" workbookViewId="0">
      <selection activeCell="N4" sqref="N4"/>
    </sheetView>
  </sheetViews>
  <sheetFormatPr defaultColWidth="11.5546875" defaultRowHeight="13.2"/>
  <cols>
    <col min="1" max="1" width="3.5546875" style="14" customWidth="1"/>
    <col min="2" max="2" width="11.5546875" style="14" customWidth="1"/>
    <col min="3" max="3" width="3.6640625" style="14" customWidth="1"/>
    <col min="4" max="4" width="15.44140625" style="14" customWidth="1"/>
    <col min="5" max="5" width="16.109375" style="14" customWidth="1"/>
    <col min="6" max="11" width="11.5546875" style="14" customWidth="1"/>
    <col min="12" max="12" width="12.109375" style="14" customWidth="1"/>
    <col min="13" max="13" width="16" style="14" customWidth="1"/>
    <col min="14" max="14" width="12.44140625" style="14" customWidth="1"/>
    <col min="15" max="255" width="11.5546875" style="14" customWidth="1"/>
    <col min="256" max="16384" width="11.5546875" style="14"/>
  </cols>
  <sheetData>
    <row r="1" spans="1:17" ht="17.399999999999999">
      <c r="A1" s="13" t="s">
        <v>49</v>
      </c>
    </row>
    <row r="3" spans="1:17" customFormat="1" ht="14.4">
      <c r="B3" s="14"/>
      <c r="D3" t="s">
        <v>122</v>
      </c>
    </row>
    <row r="4" spans="1:17" customFormat="1" ht="14.4">
      <c r="B4" s="14"/>
    </row>
    <row r="5" spans="1:17" customFormat="1" ht="14.4">
      <c r="B5" s="14"/>
      <c r="D5" s="14"/>
      <c r="E5" t="s">
        <v>123</v>
      </c>
      <c r="F5" t="s">
        <v>135</v>
      </c>
      <c r="H5" t="s">
        <v>138</v>
      </c>
      <c r="K5" t="s">
        <v>141</v>
      </c>
    </row>
    <row r="6" spans="1:17" customFormat="1" ht="14.4">
      <c r="B6" s="14"/>
      <c r="D6" s="14"/>
      <c r="E6" s="14" t="s">
        <v>133</v>
      </c>
      <c r="F6" t="s">
        <v>136</v>
      </c>
      <c r="H6" t="s">
        <v>139</v>
      </c>
    </row>
    <row r="7" spans="1:17" customFormat="1" ht="14.4">
      <c r="B7" s="14"/>
      <c r="F7" t="s">
        <v>137</v>
      </c>
      <c r="K7" t="s">
        <v>142</v>
      </c>
      <c r="O7" t="s">
        <v>145</v>
      </c>
    </row>
    <row r="8" spans="1:17" customFormat="1" ht="14.4">
      <c r="B8" s="14"/>
      <c r="K8" t="s">
        <v>143</v>
      </c>
      <c r="L8" t="s">
        <v>163</v>
      </c>
      <c r="M8" t="s">
        <v>144</v>
      </c>
      <c r="N8" s="14"/>
      <c r="O8" t="s">
        <v>146</v>
      </c>
      <c r="P8" t="s">
        <v>164</v>
      </c>
      <c r="Q8" t="s">
        <v>147</v>
      </c>
    </row>
    <row r="9" spans="1:17" customFormat="1" ht="14.4">
      <c r="B9" s="14"/>
      <c r="D9" t="s">
        <v>124</v>
      </c>
      <c r="E9">
        <v>0.9</v>
      </c>
      <c r="F9">
        <v>0.8</v>
      </c>
      <c r="H9">
        <f>E9*LOG(1/E9,2)</f>
        <v>0.13680278410054506</v>
      </c>
      <c r="K9">
        <f>E9*F9</f>
        <v>0.72000000000000008</v>
      </c>
      <c r="L9">
        <f t="shared" ref="L9:L17" si="0">K9/K$19</f>
        <v>0.91139240506329078</v>
      </c>
      <c r="M9">
        <f>-L9*LOG(L9,2)</f>
        <v>0.12199511094816404</v>
      </c>
      <c r="N9" s="14"/>
      <c r="O9">
        <f>E9*(1-F9)</f>
        <v>0.17999999999999997</v>
      </c>
      <c r="P9">
        <f>O9/O$19</f>
        <v>0.85714285714285698</v>
      </c>
      <c r="Q9">
        <f>-P9*LOG(P9,2)</f>
        <v>0.19062207543124129</v>
      </c>
    </row>
    <row r="10" spans="1:17" customFormat="1" ht="14.4">
      <c r="B10" s="14"/>
      <c r="D10" t="s">
        <v>125</v>
      </c>
      <c r="E10">
        <f>0.1/8</f>
        <v>1.2500000000000001E-2</v>
      </c>
      <c r="F10">
        <v>0.7</v>
      </c>
      <c r="H10">
        <f t="shared" ref="H10:H17" si="1">E10*LOG(1/E10,2)</f>
        <v>7.902410118609203E-2</v>
      </c>
      <c r="K10">
        <f t="shared" ref="K10:K17" si="2">E10*F10</f>
        <v>8.7499999999999991E-3</v>
      </c>
      <c r="L10">
        <f t="shared" si="0"/>
        <v>1.1075949367088601E-2</v>
      </c>
      <c r="M10">
        <f t="shared" ref="M10:M17" si="3">-L10*LOG(L10,2)</f>
        <v>7.1954083517146314E-2</v>
      </c>
      <c r="N10" s="14"/>
      <c r="O10">
        <f t="shared" ref="O10:O17" si="4">E10*(1-F10)</f>
        <v>3.7500000000000007E-3</v>
      </c>
      <c r="P10">
        <f t="shared" ref="P10:P17" si="5">O10/O$19</f>
        <v>1.785714285714286E-2</v>
      </c>
      <c r="Q10">
        <f t="shared" ref="Q10:Q17" si="6">-P10*LOG(P10,2)</f>
        <v>0.10370276646531437</v>
      </c>
    </row>
    <row r="11" spans="1:17" customFormat="1" ht="14.4">
      <c r="B11" s="14"/>
      <c r="D11" t="s">
        <v>126</v>
      </c>
      <c r="E11">
        <f t="shared" ref="E11:E17" si="7">0.1/8</f>
        <v>1.2500000000000001E-2</v>
      </c>
      <c r="F11">
        <v>0.7</v>
      </c>
      <c r="H11">
        <f t="shared" si="1"/>
        <v>7.902410118609203E-2</v>
      </c>
      <c r="K11">
        <f t="shared" si="2"/>
        <v>8.7499999999999991E-3</v>
      </c>
      <c r="L11">
        <f t="shared" si="0"/>
        <v>1.1075949367088601E-2</v>
      </c>
      <c r="M11">
        <f t="shared" si="3"/>
        <v>7.1954083517146314E-2</v>
      </c>
      <c r="N11" s="14"/>
      <c r="O11">
        <f t="shared" si="4"/>
        <v>3.7500000000000007E-3</v>
      </c>
      <c r="P11">
        <f t="shared" si="5"/>
        <v>1.785714285714286E-2</v>
      </c>
      <c r="Q11">
        <f t="shared" si="6"/>
        <v>0.10370276646531437</v>
      </c>
    </row>
    <row r="12" spans="1:17" customFormat="1" ht="14.4">
      <c r="B12" s="14"/>
      <c r="D12" t="s">
        <v>127</v>
      </c>
      <c r="E12">
        <f t="shared" si="7"/>
        <v>1.2500000000000001E-2</v>
      </c>
      <c r="F12">
        <v>0.7</v>
      </c>
      <c r="H12">
        <f t="shared" si="1"/>
        <v>7.902410118609203E-2</v>
      </c>
      <c r="K12">
        <f t="shared" si="2"/>
        <v>8.7499999999999991E-3</v>
      </c>
      <c r="L12">
        <f t="shared" si="0"/>
        <v>1.1075949367088601E-2</v>
      </c>
      <c r="M12">
        <f t="shared" si="3"/>
        <v>7.1954083517146314E-2</v>
      </c>
      <c r="N12" s="14"/>
      <c r="O12">
        <f t="shared" si="4"/>
        <v>3.7500000000000007E-3</v>
      </c>
      <c r="P12">
        <f t="shared" si="5"/>
        <v>1.785714285714286E-2</v>
      </c>
      <c r="Q12">
        <f t="shared" si="6"/>
        <v>0.10370276646531437</v>
      </c>
    </row>
    <row r="13" spans="1:17" customFormat="1" ht="14.4">
      <c r="B13" s="14"/>
      <c r="D13" t="s">
        <v>128</v>
      </c>
      <c r="E13">
        <f t="shared" si="7"/>
        <v>1.2500000000000001E-2</v>
      </c>
      <c r="F13">
        <v>0.7</v>
      </c>
      <c r="H13">
        <f t="shared" si="1"/>
        <v>7.902410118609203E-2</v>
      </c>
      <c r="K13">
        <f t="shared" si="2"/>
        <v>8.7499999999999991E-3</v>
      </c>
      <c r="L13">
        <f t="shared" si="0"/>
        <v>1.1075949367088601E-2</v>
      </c>
      <c r="M13">
        <f t="shared" si="3"/>
        <v>7.1954083517146314E-2</v>
      </c>
      <c r="N13" s="14"/>
      <c r="O13">
        <f t="shared" si="4"/>
        <v>3.7500000000000007E-3</v>
      </c>
      <c r="P13">
        <f t="shared" si="5"/>
        <v>1.785714285714286E-2</v>
      </c>
      <c r="Q13">
        <f t="shared" si="6"/>
        <v>0.10370276646531437</v>
      </c>
    </row>
    <row r="14" spans="1:17" customFormat="1" ht="14.4">
      <c r="B14" s="14"/>
      <c r="D14" t="s">
        <v>129</v>
      </c>
      <c r="E14">
        <f t="shared" si="7"/>
        <v>1.2500000000000001E-2</v>
      </c>
      <c r="F14">
        <v>0.7</v>
      </c>
      <c r="H14">
        <f t="shared" si="1"/>
        <v>7.902410118609203E-2</v>
      </c>
      <c r="K14">
        <f t="shared" si="2"/>
        <v>8.7499999999999991E-3</v>
      </c>
      <c r="L14">
        <f t="shared" si="0"/>
        <v>1.1075949367088601E-2</v>
      </c>
      <c r="M14">
        <f t="shared" si="3"/>
        <v>7.1954083517146314E-2</v>
      </c>
      <c r="N14" s="14"/>
      <c r="O14">
        <f t="shared" si="4"/>
        <v>3.7500000000000007E-3</v>
      </c>
      <c r="P14">
        <f t="shared" si="5"/>
        <v>1.785714285714286E-2</v>
      </c>
      <c r="Q14">
        <f t="shared" si="6"/>
        <v>0.10370276646531437</v>
      </c>
    </row>
    <row r="15" spans="1:17" customFormat="1" ht="14.4">
      <c r="B15" s="14"/>
      <c r="D15" t="s">
        <v>132</v>
      </c>
      <c r="E15">
        <f t="shared" si="7"/>
        <v>1.2500000000000001E-2</v>
      </c>
      <c r="F15">
        <v>0.7</v>
      </c>
      <c r="H15">
        <f t="shared" si="1"/>
        <v>7.902410118609203E-2</v>
      </c>
      <c r="K15">
        <f t="shared" si="2"/>
        <v>8.7499999999999991E-3</v>
      </c>
      <c r="L15">
        <f t="shared" si="0"/>
        <v>1.1075949367088601E-2</v>
      </c>
      <c r="M15">
        <f t="shared" si="3"/>
        <v>7.1954083517146314E-2</v>
      </c>
      <c r="N15" s="14"/>
      <c r="O15">
        <f t="shared" si="4"/>
        <v>3.7500000000000007E-3</v>
      </c>
      <c r="P15">
        <f t="shared" si="5"/>
        <v>1.785714285714286E-2</v>
      </c>
      <c r="Q15">
        <f t="shared" si="6"/>
        <v>0.10370276646531437</v>
      </c>
    </row>
    <row r="16" spans="1:17" customFormat="1" ht="14.4">
      <c r="B16" s="14"/>
      <c r="D16" t="s">
        <v>130</v>
      </c>
      <c r="E16">
        <f t="shared" si="7"/>
        <v>1.2500000000000001E-2</v>
      </c>
      <c r="F16">
        <v>0.7</v>
      </c>
      <c r="H16">
        <f t="shared" si="1"/>
        <v>7.902410118609203E-2</v>
      </c>
      <c r="K16">
        <f t="shared" si="2"/>
        <v>8.7499999999999991E-3</v>
      </c>
      <c r="L16">
        <f t="shared" si="0"/>
        <v>1.1075949367088601E-2</v>
      </c>
      <c r="M16">
        <f t="shared" si="3"/>
        <v>7.1954083517146314E-2</v>
      </c>
      <c r="N16" s="14"/>
      <c r="O16">
        <f t="shared" si="4"/>
        <v>3.7500000000000007E-3</v>
      </c>
      <c r="P16">
        <f t="shared" si="5"/>
        <v>1.785714285714286E-2</v>
      </c>
      <c r="Q16">
        <f t="shared" si="6"/>
        <v>0.10370276646531437</v>
      </c>
    </row>
    <row r="17" spans="2:17" customFormat="1" ht="14.4">
      <c r="B17" s="14"/>
      <c r="D17" t="s">
        <v>131</v>
      </c>
      <c r="E17">
        <f t="shared" si="7"/>
        <v>1.2500000000000001E-2</v>
      </c>
      <c r="F17">
        <v>0.7</v>
      </c>
      <c r="H17">
        <f t="shared" si="1"/>
        <v>7.902410118609203E-2</v>
      </c>
      <c r="K17">
        <f t="shared" si="2"/>
        <v>8.7499999999999991E-3</v>
      </c>
      <c r="L17">
        <f t="shared" si="0"/>
        <v>1.1075949367088601E-2</v>
      </c>
      <c r="M17">
        <f t="shared" si="3"/>
        <v>7.1954083517146314E-2</v>
      </c>
      <c r="N17" s="14"/>
      <c r="O17">
        <f t="shared" si="4"/>
        <v>3.7500000000000007E-3</v>
      </c>
      <c r="P17">
        <f t="shared" si="5"/>
        <v>1.785714285714286E-2</v>
      </c>
      <c r="Q17">
        <f t="shared" si="6"/>
        <v>0.10370276646531437</v>
      </c>
    </row>
    <row r="18" spans="2:17" customFormat="1" ht="14.4">
      <c r="B18" s="14"/>
      <c r="N18" s="14"/>
    </row>
    <row r="19" spans="2:17" customFormat="1" ht="14.4">
      <c r="D19" t="s">
        <v>134</v>
      </c>
      <c r="E19">
        <f>SUM(E9:E17)</f>
        <v>0.99999999999999967</v>
      </c>
      <c r="G19" s="14"/>
      <c r="H19">
        <f>SUM(H9:H17)</f>
        <v>0.76899559358928138</v>
      </c>
      <c r="K19">
        <f>SUM(K9:K17)</f>
        <v>0.79000000000000037</v>
      </c>
      <c r="M19">
        <f>SUM(M9:M17)</f>
        <v>0.69762777908533447</v>
      </c>
      <c r="N19" s="14"/>
      <c r="O19">
        <f>SUM(O9:O17)</f>
        <v>0.21</v>
      </c>
      <c r="Q19">
        <f>SUM(Q9:Q17)</f>
        <v>1.0202442071537563</v>
      </c>
    </row>
    <row r="20" spans="2:17" customFormat="1" ht="14.4">
      <c r="G20" s="14"/>
      <c r="H20" t="s">
        <v>69</v>
      </c>
      <c r="K20" t="s">
        <v>148</v>
      </c>
      <c r="M20">
        <f>K19*M19</f>
        <v>0.55112594547741445</v>
      </c>
      <c r="N20" s="14"/>
      <c r="O20" t="s">
        <v>148</v>
      </c>
      <c r="Q20">
        <f>O19*Q19</f>
        <v>0.21425128350228881</v>
      </c>
    </row>
    <row r="21" spans="2:17" customFormat="1" ht="14.4">
      <c r="G21" s="14"/>
      <c r="H21" t="s">
        <v>140</v>
      </c>
    </row>
    <row r="22" spans="2:17" customFormat="1" ht="14.4">
      <c r="K22" t="s">
        <v>149</v>
      </c>
    </row>
    <row r="23" spans="2:17" customFormat="1" ht="14.4">
      <c r="N23">
        <f>M20+Q20</f>
        <v>0.76537722897970328</v>
      </c>
    </row>
    <row r="24" spans="2:17" customFormat="1" ht="14.4"/>
    <row r="25" spans="2:17" customFormat="1" ht="14.4">
      <c r="K25" s="45" t="s">
        <v>150</v>
      </c>
      <c r="L25" s="45"/>
    </row>
    <row r="26" spans="2:17" customFormat="1" ht="14.4">
      <c r="K26" s="45"/>
      <c r="L26" s="45">
        <f>H19-N23</f>
        <v>3.6183646095780952E-3</v>
      </c>
    </row>
    <row r="27" spans="2:17" customFormat="1" ht="14.4">
      <c r="K27" s="45" t="s">
        <v>151</v>
      </c>
      <c r="L27" s="45"/>
    </row>
    <row r="28" spans="2:17" customFormat="1" ht="14.4"/>
    <row r="29" spans="2:17" customFormat="1" ht="14.4">
      <c r="K29" s="46" t="s">
        <v>153</v>
      </c>
      <c r="L29" s="46"/>
    </row>
    <row r="30" spans="2:17" customFormat="1" ht="14.4">
      <c r="K30" s="46"/>
      <c r="L30" s="46">
        <f>L26/H19</f>
        <v>4.7053125398149615E-3</v>
      </c>
    </row>
    <row r="31" spans="2:17" customFormat="1" ht="14.4"/>
    <row r="32" spans="2:17" customFormat="1" ht="14.4"/>
    <row r="33" spans="4:10" customFormat="1" ht="14.4">
      <c r="D33" t="s">
        <v>154</v>
      </c>
    </row>
    <row r="34" spans="4:10" customFormat="1" ht="14.4">
      <c r="D34" t="s">
        <v>155</v>
      </c>
      <c r="F34" s="14"/>
      <c r="G34" t="s">
        <v>156</v>
      </c>
    </row>
    <row r="35" spans="4:10" customFormat="1" ht="14.4">
      <c r="D35" t="s">
        <v>157</v>
      </c>
      <c r="G35" t="s">
        <v>158</v>
      </c>
    </row>
    <row r="36" spans="4:10" customFormat="1" ht="14.4">
      <c r="D36" t="s">
        <v>159</v>
      </c>
      <c r="G36" s="42" t="s">
        <v>160</v>
      </c>
    </row>
    <row r="37" spans="4:10" customFormat="1" ht="14.4">
      <c r="H37" t="s">
        <v>161</v>
      </c>
    </row>
    <row r="38" spans="4:10" customFormat="1" ht="14.4">
      <c r="D38" t="s">
        <v>162</v>
      </c>
    </row>
    <row r="39" spans="4:10" customFormat="1" ht="14.4"/>
    <row r="40" spans="4:10" customFormat="1" ht="14.4">
      <c r="D40" t="s">
        <v>165</v>
      </c>
      <c r="G40" t="s">
        <v>166</v>
      </c>
    </row>
    <row r="41" spans="4:10" customFormat="1" ht="14.4">
      <c r="D41" t="s">
        <v>167</v>
      </c>
      <c r="G41" t="s">
        <v>168</v>
      </c>
    </row>
    <row r="42" spans="4:10" customFormat="1" ht="14.4">
      <c r="D42" t="s">
        <v>169</v>
      </c>
      <c r="G42" t="s">
        <v>170</v>
      </c>
      <c r="J42" t="s">
        <v>171</v>
      </c>
    </row>
    <row r="43" spans="4:10" customFormat="1" ht="14.4"/>
    <row r="44" spans="4:10" customFormat="1" ht="14.4">
      <c r="D44" t="s">
        <v>172</v>
      </c>
      <c r="G44" t="s">
        <v>175</v>
      </c>
    </row>
    <row r="45" spans="4:10" customFormat="1" ht="14.4">
      <c r="D45" t="s">
        <v>173</v>
      </c>
      <c r="G45" t="s">
        <v>176</v>
      </c>
    </row>
    <row r="46" spans="4:10" customFormat="1" ht="14.4">
      <c r="D46" t="s">
        <v>174</v>
      </c>
      <c r="G46" t="s">
        <v>177</v>
      </c>
    </row>
    <row r="47" spans="4:10" customFormat="1" ht="14.4"/>
    <row r="48" spans="4:10" customFormat="1" ht="14.4">
      <c r="D48" t="s">
        <v>180</v>
      </c>
    </row>
    <row r="49" spans="2:17" customFormat="1" ht="14.4">
      <c r="D49" t="s">
        <v>178</v>
      </c>
    </row>
    <row r="50" spans="2:17" customFormat="1" ht="14.4">
      <c r="D50" t="s">
        <v>179</v>
      </c>
    </row>
    <row r="51" spans="2:17" customFormat="1" ht="14.4"/>
    <row r="52" spans="2:17" customFormat="1" ht="14.4">
      <c r="D52" t="s">
        <v>181</v>
      </c>
    </row>
    <row r="53" spans="2:17" ht="14.4">
      <c r="D53" t="s">
        <v>182</v>
      </c>
      <c r="E53"/>
      <c r="F53"/>
      <c r="G53"/>
      <c r="H53"/>
      <c r="I53"/>
    </row>
    <row r="54" spans="2:17" ht="14.4">
      <c r="D54" t="s">
        <v>183</v>
      </c>
      <c r="E54"/>
      <c r="F54"/>
      <c r="G54"/>
      <c r="H54"/>
      <c r="I54"/>
    </row>
    <row r="55" spans="2:17" ht="14.4">
      <c r="D55"/>
      <c r="E55"/>
      <c r="F55"/>
      <c r="G55"/>
      <c r="H55"/>
      <c r="I55"/>
    </row>
    <row r="56" spans="2:17" ht="14.4">
      <c r="D56" t="s">
        <v>184</v>
      </c>
      <c r="E56"/>
      <c r="F56"/>
      <c r="G56"/>
      <c r="H56"/>
      <c r="I56"/>
    </row>
    <row r="57" spans="2:17" ht="14.4">
      <c r="D57" t="s">
        <v>186</v>
      </c>
      <c r="E57"/>
      <c r="F57"/>
      <c r="G57"/>
      <c r="H57"/>
      <c r="I57"/>
    </row>
    <row r="58" spans="2:17" ht="14.4">
      <c r="D58" t="s">
        <v>185</v>
      </c>
      <c r="E58"/>
      <c r="F58"/>
      <c r="G58"/>
      <c r="H58"/>
      <c r="I58"/>
    </row>
    <row r="59" spans="2:17" ht="14.4">
      <c r="D59"/>
      <c r="E59"/>
      <c r="F59"/>
      <c r="G59"/>
      <c r="H59"/>
      <c r="I59"/>
    </row>
    <row r="60" spans="2:17" ht="14.4">
      <c r="B60" s="14" t="s">
        <v>187</v>
      </c>
      <c r="D60"/>
      <c r="E60"/>
      <c r="F60"/>
      <c r="G60"/>
      <c r="H60"/>
      <c r="I60"/>
    </row>
    <row r="61" spans="2:17" ht="14.4">
      <c r="D61"/>
      <c r="E61"/>
      <c r="F61"/>
      <c r="G61"/>
      <c r="H61"/>
      <c r="I61"/>
      <c r="K61" s="14" t="s">
        <v>190</v>
      </c>
    </row>
    <row r="62" spans="2:17" ht="14.4">
      <c r="B62" s="14" t="s">
        <v>188</v>
      </c>
      <c r="D62"/>
      <c r="E62" t="s">
        <v>191</v>
      </c>
      <c r="F62" t="s">
        <v>0</v>
      </c>
      <c r="G62"/>
      <c r="H62" t="s">
        <v>66</v>
      </c>
      <c r="I62"/>
      <c r="K62" s="14" t="s">
        <v>192</v>
      </c>
    </row>
    <row r="63" spans="2:17" ht="14.4">
      <c r="D63" t="s">
        <v>124</v>
      </c>
      <c r="E63">
        <f>E9</f>
        <v>0.9</v>
      </c>
      <c r="F63">
        <f>F9</f>
        <v>0.8</v>
      </c>
      <c r="G63"/>
      <c r="H63">
        <f>E63*LOG(1/E63,2)</f>
        <v>0.13680278410054506</v>
      </c>
      <c r="I63"/>
      <c r="K63">
        <f>E63*F63</f>
        <v>0.72000000000000008</v>
      </c>
      <c r="L63">
        <f>K63/SUM(K63:K64)</f>
        <v>0.91139240506329122</v>
      </c>
      <c r="M63">
        <f>-L63*LOG(L63,2)</f>
        <v>0.12199511094816343</v>
      </c>
      <c r="O63">
        <f>E63*(1-F63)</f>
        <v>0.17999999999999997</v>
      </c>
      <c r="P63">
        <f>O63/SUM(O63:O64)</f>
        <v>0.8571428571428571</v>
      </c>
      <c r="Q63">
        <f>-P63*LOG(P63,2)</f>
        <v>0.19062207543124116</v>
      </c>
    </row>
    <row r="64" spans="2:17" ht="14.4">
      <c r="D64" t="s">
        <v>189</v>
      </c>
      <c r="E64">
        <f>SUM(E10:E17)</f>
        <v>9.9999999999999992E-2</v>
      </c>
      <c r="F64">
        <f>E10/(1-E9)*F10+E11/(1-E9)*F11+E12/(1-E9)*F12+E13/(1-E9)*F13+E14/(1-E9)*F14+E15/(1-E9)*F15+E16/(1-E9)*F16+E17/(1-E9)*F17</f>
        <v>0.70000000000000007</v>
      </c>
      <c r="G64"/>
      <c r="H64">
        <f>E64*LOG(1/E64,2)</f>
        <v>0.33219280948873625</v>
      </c>
      <c r="I64"/>
      <c r="K64">
        <f>E64*F64</f>
        <v>7.0000000000000007E-2</v>
      </c>
      <c r="L64">
        <f>K64/SUM(K63:K64)</f>
        <v>8.8607594936708861E-2</v>
      </c>
      <c r="M64">
        <f>-L64*LOG(L64,2)</f>
        <v>0.30980988332704423</v>
      </c>
      <c r="O64">
        <f>E64*(1-F64)</f>
        <v>2.9999999999999992E-2</v>
      </c>
      <c r="P64">
        <f>O64/SUM(O63:O64)</f>
        <v>0.14285714285714285</v>
      </c>
      <c r="Q64">
        <f>-P64*LOG(P64,2)</f>
        <v>0.40105070315108637</v>
      </c>
    </row>
    <row r="65" spans="4:17" ht="14.4">
      <c r="D65"/>
      <c r="E65"/>
      <c r="F65"/>
      <c r="G65"/>
      <c r="H65"/>
      <c r="I65"/>
    </row>
    <row r="66" spans="4:17" ht="14.4">
      <c r="D66"/>
      <c r="E66"/>
      <c r="F66"/>
      <c r="G66"/>
      <c r="H66">
        <f>SUM(H63:H64)</f>
        <v>0.46899559358928133</v>
      </c>
      <c r="I66"/>
      <c r="K66">
        <f>SUM(K63:K64)</f>
        <v>0.79</v>
      </c>
      <c r="M66">
        <f>SUM(M63:M64)</f>
        <v>0.43180499427520769</v>
      </c>
      <c r="O66">
        <f>SUM(O63:O64)</f>
        <v>0.20999999999999996</v>
      </c>
      <c r="Q66">
        <f>SUM(Q63:Q64)</f>
        <v>0.59167277858232747</v>
      </c>
    </row>
    <row r="67" spans="4:17" ht="14.4">
      <c r="D67"/>
      <c r="E67"/>
      <c r="F67"/>
      <c r="G67"/>
      <c r="H67"/>
      <c r="I67"/>
      <c r="K67" t="s">
        <v>148</v>
      </c>
      <c r="L67"/>
      <c r="M67">
        <f>K66*M66</f>
        <v>0.34112594547741409</v>
      </c>
      <c r="O67" t="s">
        <v>148</v>
      </c>
      <c r="P67"/>
      <c r="Q67">
        <f>O66*Q66</f>
        <v>0.12425128350228874</v>
      </c>
    </row>
    <row r="68" spans="4:17" ht="14.4">
      <c r="D68"/>
      <c r="E68"/>
      <c r="F68"/>
      <c r="G68"/>
      <c r="H68"/>
      <c r="I68"/>
    </row>
    <row r="69" spans="4:17" ht="14.4">
      <c r="D69"/>
      <c r="E69"/>
      <c r="F69"/>
      <c r="G69"/>
      <c r="H69"/>
      <c r="I69"/>
      <c r="K69" t="s">
        <v>149</v>
      </c>
      <c r="L69"/>
      <c r="M69"/>
      <c r="N69"/>
    </row>
    <row r="70" spans="4:17" ht="14.4">
      <c r="D70"/>
      <c r="E70"/>
      <c r="F70"/>
      <c r="G70"/>
      <c r="H70"/>
      <c r="I70"/>
      <c r="K70"/>
      <c r="L70"/>
      <c r="M70"/>
      <c r="N70">
        <f>M67+Q67</f>
        <v>0.46537722897970285</v>
      </c>
    </row>
    <row r="72" spans="4:17" ht="14.4">
      <c r="E72"/>
      <c r="K72" s="48" t="s">
        <v>150</v>
      </c>
      <c r="L72" s="48"/>
    </row>
    <row r="73" spans="4:17" ht="14.4">
      <c r="E73"/>
      <c r="K73" s="48"/>
      <c r="L73" s="48">
        <f>H66-N70</f>
        <v>3.6183646095784838E-3</v>
      </c>
    </row>
    <row r="74" spans="4:17" ht="14.4">
      <c r="E74"/>
      <c r="K74" s="48" t="s">
        <v>151</v>
      </c>
      <c r="L74" s="48"/>
    </row>
    <row r="75" spans="4:17" ht="14.4">
      <c r="E75"/>
      <c r="K75" s="48"/>
      <c r="L75" s="48"/>
    </row>
    <row r="76" spans="4:17" ht="14.4">
      <c r="K76" s="49" t="s">
        <v>153</v>
      </c>
      <c r="L76" s="49"/>
    </row>
    <row r="77" spans="4:17" ht="14.4">
      <c r="K77" s="49"/>
      <c r="L77" s="49">
        <f>L73/H66</f>
        <v>7.7151356196903508E-3</v>
      </c>
    </row>
  </sheetData>
  <phoneticPr fontId="11" type="noConversion"/>
  <pageMargins left="0.75" right="0.75" top="1" bottom="1" header="0.5" footer="0.5"/>
  <pageSetup scale="54" orientation="landscape" verticalDpi="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Uncertainty Reduction</vt:lpstr>
      <vt:lpstr>Entropy Tree 2 Diseases</vt:lpstr>
      <vt:lpstr>Entropy Tree 9 Diseases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</dc:creator>
  <cp:lastModifiedBy>Robert Hamm</cp:lastModifiedBy>
  <dcterms:created xsi:type="dcterms:W3CDTF">2010-10-23T14:35:40Z</dcterms:created>
  <dcterms:modified xsi:type="dcterms:W3CDTF">2011-05-04T22:57:42Z</dcterms:modified>
</cp:coreProperties>
</file>