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imemalhueolmos/Desktop/TODO/Duoc/8vo Semestre/capstone/ENTREGRABLES PROYECTO/Costos/"/>
    </mc:Choice>
  </mc:AlternateContent>
  <xr:revisionPtr revIDLastSave="0" documentId="13_ncr:1_{D724D536-E420-564D-9B6F-23733219273F}" xr6:coauthVersionLast="47" xr6:coauthVersionMax="47" xr10:uidLastSave="{00000000-0000-0000-0000-000000000000}"/>
  <bookViews>
    <workbookView xWindow="0" yWindow="500" windowWidth="28800" windowHeight="16240" activeTab="5" xr2:uid="{80BB412A-E72B-4752-9F3C-A199298F237D}"/>
  </bookViews>
  <sheets>
    <sheet name="Ingresos" sheetId="1" r:id="rId1"/>
    <sheet name="Inversiones" sheetId="4" r:id="rId2"/>
    <sheet name="Costos" sheetId="2" r:id="rId3"/>
    <sheet name="Depreciacion y Amortizacion" sheetId="21" r:id="rId4"/>
    <sheet name="Hoja1" sheetId="9" state="hidden" r:id="rId5"/>
    <sheet name="Flujo de Caja 2.0" sheetId="24" r:id="rId6"/>
  </sheets>
  <definedNames>
    <definedName name="uf2023_" localSheetId="2">Costos!$J$4:$O$73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E6" i="2"/>
  <c r="F6" i="2" s="1"/>
  <c r="G6" i="2" s="1"/>
  <c r="H6" i="2" s="1"/>
  <c r="I6" i="2" s="1"/>
  <c r="G7" i="2"/>
  <c r="H7" i="2" s="1"/>
  <c r="I7" i="2" s="1"/>
  <c r="F7" i="2"/>
  <c r="G14" i="1"/>
  <c r="F14" i="1"/>
  <c r="D9" i="2"/>
  <c r="D2" i="2" s="1"/>
  <c r="E7" i="2"/>
  <c r="E9" i="4"/>
  <c r="D9" i="4" s="1"/>
  <c r="D8" i="4"/>
  <c r="G8" i="4"/>
  <c r="G9" i="4" s="1"/>
  <c r="C9" i="4"/>
  <c r="D6" i="4"/>
  <c r="D7" i="4"/>
  <c r="D5" i="4"/>
  <c r="D4" i="4"/>
  <c r="G5" i="4"/>
  <c r="F5" i="4" s="1"/>
  <c r="G6" i="4"/>
  <c r="F6" i="4" s="1"/>
  <c r="G7" i="4"/>
  <c r="F7" i="4" s="1"/>
  <c r="G4" i="4"/>
  <c r="F4" i="4" s="1"/>
  <c r="L27" i="1"/>
  <c r="D12" i="1" s="1"/>
  <c r="D13" i="1" s="1"/>
  <c r="C5" i="1"/>
  <c r="H5" i="21"/>
  <c r="G5" i="21"/>
  <c r="F5" i="21"/>
  <c r="D5" i="21"/>
  <c r="F4" i="21"/>
  <c r="G6" i="21"/>
  <c r="F6" i="21"/>
  <c r="D6" i="21"/>
  <c r="D7" i="21"/>
  <c r="D4" i="21"/>
  <c r="I8" i="21"/>
  <c r="I13" i="24" s="1"/>
  <c r="I17" i="24" s="1"/>
  <c r="J8" i="21"/>
  <c r="J13" i="24" s="1"/>
  <c r="J17" i="24" s="1"/>
  <c r="H4" i="21"/>
  <c r="G4" i="21"/>
  <c r="G7" i="21"/>
  <c r="F7" i="21"/>
  <c r="D14" i="1" l="1"/>
  <c r="F8" i="2"/>
  <c r="G8" i="2" s="1"/>
  <c r="H8" i="2" s="1"/>
  <c r="I8" i="2" s="1"/>
  <c r="F8" i="4"/>
  <c r="C12" i="1"/>
  <c r="D15" i="1"/>
  <c r="H8" i="21"/>
  <c r="H13" i="24" s="1"/>
  <c r="H17" i="24" s="1"/>
  <c r="F8" i="21"/>
  <c r="F13" i="24" s="1"/>
  <c r="F17" i="24" s="1"/>
  <c r="G8" i="21"/>
  <c r="G13" i="24" s="1"/>
  <c r="G17" i="24" s="1"/>
  <c r="E12" i="1"/>
  <c r="E14" i="1" s="1"/>
  <c r="G12" i="1"/>
  <c r="F12" i="1"/>
  <c r="F13" i="1" s="1"/>
  <c r="C13" i="1" l="1"/>
  <c r="C14" i="1"/>
  <c r="G13" i="1"/>
  <c r="G15" i="1" s="1"/>
  <c r="E13" i="1"/>
  <c r="E15" i="1" s="1"/>
  <c r="F9" i="4"/>
  <c r="F15" i="1"/>
  <c r="E19" i="24" l="1"/>
  <c r="F16" i="1"/>
  <c r="I9" i="24" s="1"/>
  <c r="D16" i="1"/>
  <c r="G9" i="24" s="1"/>
  <c r="G16" i="1"/>
  <c r="J9" i="24" s="1"/>
  <c r="E16" i="1"/>
  <c r="H9" i="24" s="1"/>
  <c r="E22" i="24" l="1"/>
  <c r="E9" i="2" l="1"/>
  <c r="E2" i="2" s="1"/>
  <c r="F11" i="24" l="1"/>
  <c r="F9" i="2"/>
  <c r="G11" i="24" l="1"/>
  <c r="G12" i="24" s="1"/>
  <c r="G14" i="24" s="1"/>
  <c r="G15" i="24" s="1"/>
  <c r="G16" i="24" s="1"/>
  <c r="G18" i="24" s="1"/>
  <c r="G22" i="24" s="1"/>
  <c r="F2" i="2"/>
  <c r="G9" i="2"/>
  <c r="H11" i="24" l="1"/>
  <c r="H12" i="24" s="1"/>
  <c r="H14" i="24" s="1"/>
  <c r="H15" i="24" s="1"/>
  <c r="G2" i="2"/>
  <c r="I9" i="2"/>
  <c r="H9" i="2"/>
  <c r="H16" i="24" l="1"/>
  <c r="H18" i="24" s="1"/>
  <c r="H22" i="24" s="1"/>
  <c r="J11" i="24"/>
  <c r="J12" i="24" s="1"/>
  <c r="J14" i="24" s="1"/>
  <c r="J15" i="24" s="1"/>
  <c r="I2" i="2"/>
  <c r="I11" i="24"/>
  <c r="I12" i="24" s="1"/>
  <c r="I14" i="24" s="1"/>
  <c r="I15" i="24" s="1"/>
  <c r="I16" i="24" s="1"/>
  <c r="I18" i="24" s="1"/>
  <c r="I22" i="24" s="1"/>
  <c r="H2" i="2"/>
  <c r="J9" i="2"/>
  <c r="J16" i="24" l="1"/>
  <c r="J18" i="24" s="1"/>
  <c r="J22" i="24" s="1"/>
  <c r="K11" i="24"/>
  <c r="C15" i="1" l="1"/>
  <c r="C16" i="1" s="1"/>
  <c r="F9" i="24" s="1"/>
  <c r="F12" i="24" l="1"/>
  <c r="F14" i="24" s="1"/>
  <c r="F16" i="24" s="1"/>
  <c r="F18" i="24" s="1"/>
  <c r="F22" i="24" s="1"/>
  <c r="K9" i="24"/>
  <c r="E28" i="24"/>
  <c r="E26" i="24" l="1"/>
  <c r="K22" i="24"/>
  <c r="E2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CB9F82-0BBF-4B39-AFB7-55A44D948480}" name="Conexión" type="4" refreshedVersion="7" background="1" saveData="1">
    <webPr sourceData="1" parsePre="1" consecutive="1" xl2000="1" url="https://www.sii.cl/valores_y_fechas/uf/uf2023.htm" htmlTables="1" htmlFormat="all"/>
  </connection>
</connections>
</file>

<file path=xl/sharedStrings.xml><?xml version="1.0" encoding="utf-8"?>
<sst xmlns="http://schemas.openxmlformats.org/spreadsheetml/2006/main" count="138" uniqueCount="118">
  <si>
    <t>Valor Dólar</t>
  </si>
  <si>
    <t>Ingresos por venta</t>
  </si>
  <si>
    <t>Nro.</t>
  </si>
  <si>
    <t>Items /  Años</t>
  </si>
  <si>
    <t>% Posibles Suscriptores</t>
  </si>
  <si>
    <t>Clientes</t>
  </si>
  <si>
    <t>Total ingresos mensuales USD</t>
  </si>
  <si>
    <t>Total ingresos anuales en $$$</t>
  </si>
  <si>
    <t>IPC</t>
  </si>
  <si>
    <t>INVERSIONES</t>
  </si>
  <si>
    <t>Fecha</t>
  </si>
  <si>
    <t>Tipo de Activo Fijo</t>
  </si>
  <si>
    <r>
      <t>Nombre</t>
    </r>
    <r>
      <rPr>
        <vertAlign val="superscript"/>
        <sz val="10"/>
        <color rgb="FFFFFFFF"/>
        <rFont val="Bookman Old Style"/>
        <family val="1"/>
      </rPr>
      <t>2</t>
    </r>
  </si>
  <si>
    <t>Cantidad</t>
  </si>
  <si>
    <r>
      <t>Costo unitario</t>
    </r>
    <r>
      <rPr>
        <sz val="10"/>
        <color rgb="FFFFFFFF"/>
        <rFont val="Bookman Old Style"/>
        <family val="1"/>
      </rPr>
      <t xml:space="preserve"> (USD)</t>
    </r>
  </si>
  <si>
    <r>
      <t>Costo unitario</t>
    </r>
    <r>
      <rPr>
        <sz val="10"/>
        <color rgb="FFFFFFFF"/>
        <rFont val="Bookman Old Style"/>
        <family val="1"/>
      </rPr>
      <t xml:space="preserve"> (CLP)</t>
    </r>
  </si>
  <si>
    <t>Costo Total (USD)</t>
  </si>
  <si>
    <t>Costo Total (CLP)</t>
  </si>
  <si>
    <t>Infraestructura y equipamiento Cloverluck</t>
  </si>
  <si>
    <t>MACBOOK PRO M2</t>
  </si>
  <si>
    <t>UTM</t>
  </si>
  <si>
    <t>Total Inversión</t>
  </si>
  <si>
    <r>
      <t>COSTOS</t>
    </r>
    <r>
      <rPr>
        <b/>
        <vertAlign val="superscript"/>
        <sz val="10"/>
        <color theme="0"/>
        <rFont val="Bookman Old Style"/>
        <family val="1"/>
      </rPr>
      <t>1</t>
    </r>
  </si>
  <si>
    <t>Meses</t>
  </si>
  <si>
    <t>COSTOS</t>
  </si>
  <si>
    <t>Tipo de Costo</t>
  </si>
  <si>
    <t>Nombre del Costo</t>
  </si>
  <si>
    <t>Costo unitario ($)</t>
  </si>
  <si>
    <t>Costo Año 1</t>
  </si>
  <si>
    <t>Costo Fijo</t>
  </si>
  <si>
    <t>Total Costo</t>
  </si>
  <si>
    <t>Inversión en el Activo Fijo</t>
  </si>
  <si>
    <t>Tiempo de Amortización</t>
  </si>
  <si>
    <t xml:space="preserve">Detalle Fórmula de Cálculo de la Amortización </t>
  </si>
  <si>
    <t>Amortización Año 1</t>
  </si>
  <si>
    <t>Amortización Año 2</t>
  </si>
  <si>
    <t>Amortización Año 3</t>
  </si>
  <si>
    <t>Amortización Año 4</t>
  </si>
  <si>
    <t>Amortización Año 5</t>
  </si>
  <si>
    <t xml:space="preserve">Amortización Año </t>
  </si>
  <si>
    <t>Amortización Año 7</t>
  </si>
  <si>
    <t>Amortización Año 8</t>
  </si>
  <si>
    <t>Amortización Año 9</t>
  </si>
  <si>
    <t>Amortización Año 10</t>
  </si>
  <si>
    <t>Amortización Año 11</t>
  </si>
  <si>
    <t>Amortización Año 12</t>
  </si>
  <si>
    <t>Amortización Año 13</t>
  </si>
  <si>
    <t>Amortización Año 14</t>
  </si>
  <si>
    <t>Amortización Año 15</t>
  </si>
  <si>
    <t>Amortización Año 16</t>
  </si>
  <si>
    <t>Amortización Año 17</t>
  </si>
  <si>
    <t>Amortización Año 18</t>
  </si>
  <si>
    <t>Amortización Año 19</t>
  </si>
  <si>
    <t>Amortización Año 20</t>
  </si>
  <si>
    <t>Año 0</t>
  </si>
  <si>
    <t>Año 1</t>
  </si>
  <si>
    <t>Año 2</t>
  </si>
  <si>
    <t>Año 3</t>
  </si>
  <si>
    <t>Año 4</t>
  </si>
  <si>
    <t>Año 5</t>
  </si>
  <si>
    <t>Ingresos</t>
  </si>
  <si>
    <t>Costos operacionales</t>
  </si>
  <si>
    <t>Total antes de ajustes</t>
  </si>
  <si>
    <t>Depreciación (-)</t>
  </si>
  <si>
    <t>Resultado antes de impuesto</t>
  </si>
  <si>
    <t>Impuestos</t>
  </si>
  <si>
    <t>Resultado después de impuesto</t>
  </si>
  <si>
    <t>Depreciación (+)</t>
  </si>
  <si>
    <t>Flujo operacional</t>
  </si>
  <si>
    <t>Inversiones</t>
  </si>
  <si>
    <t>Valor de desecho</t>
  </si>
  <si>
    <t>Flujo de capitales</t>
  </si>
  <si>
    <t>FLUJO DE CAJA</t>
  </si>
  <si>
    <t>Tasa</t>
  </si>
  <si>
    <t>VAN</t>
  </si>
  <si>
    <t>INTERNET STARLINK</t>
  </si>
  <si>
    <t>Total ingresos anuales en $$$ * Ipc</t>
  </si>
  <si>
    <t>Costo unitario (USD)</t>
  </si>
  <si>
    <t>Costo unitario (CLP)</t>
  </si>
  <si>
    <t>Años Depreciación</t>
  </si>
  <si>
    <t>Totales</t>
  </si>
  <si>
    <t>TIR</t>
  </si>
  <si>
    <t>ROI</t>
  </si>
  <si>
    <t xml:space="preserve">Administrativo </t>
  </si>
  <si>
    <t>ESCRITORIO + SILLA</t>
  </si>
  <si>
    <t>MONITOR</t>
  </si>
  <si>
    <t>Promedio suscripción</t>
  </si>
  <si>
    <t>APP WEB</t>
  </si>
  <si>
    <t>Región</t>
  </si>
  <si>
    <t>Total Subcriptores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</si>
  <si>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</si>
  <si>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</si>
  <si>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</si>
  <si>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</si>
  <si>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</si>
  <si>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Valparaiso</t>
  </si>
  <si>
    <t>Región Metropolitana</t>
  </si>
  <si>
    <t>Región de O´Higgins</t>
  </si>
  <si>
    <t>Región del Maule</t>
  </si>
  <si>
    <t>Región del Ñuble</t>
  </si>
  <si>
    <t>Región del Biobío</t>
  </si>
  <si>
    <t>Región de La Araucania</t>
  </si>
  <si>
    <t>Región de Los Ríos</t>
  </si>
  <si>
    <t>Región de Los Lagos</t>
  </si>
  <si>
    <t>Región de Aysén</t>
  </si>
  <si>
    <t>Región de Magallanes</t>
  </si>
  <si>
    <t>Silla + Escritorio</t>
  </si>
  <si>
    <t>UF</t>
  </si>
  <si>
    <t>DÓLAR</t>
  </si>
  <si>
    <t>INVERSIONISTA</t>
  </si>
  <si>
    <t>Publicidad</t>
  </si>
  <si>
    <t>META</t>
  </si>
  <si>
    <t>Costo Año 2 (+10%)</t>
  </si>
  <si>
    <t>Costo Año 3 (+10%)</t>
  </si>
  <si>
    <t>Costo Año 4 (+10%)</t>
  </si>
  <si>
    <t>Costo Año 5} (+10%)</t>
  </si>
  <si>
    <t>Total ingresos mesnsuales $$$</t>
  </si>
  <si>
    <t xml:space="preserve">REMUNERACION ANUAL TÉCNICO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</si>
</sst>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#,##0.00;[Red]\-&quot;$&quot;#,##0.00"/>
    <numFmt numFmtId="165" formatCode="_-* #,##0.00_-;\-* #,##0.00_-;_-* &quot;-&quot;??_-;_-@_-"/>
    <numFmt numFmtId="166" formatCode="_-&quot;$&quot;\ * #,##0.00_-;\-&quot;$&quot;\ * #,##0.00_-;_-&quot;$&quot;\ * &quot;-&quot;??_-;_-@_-"/>
    <numFmt numFmtId="167" formatCode="_-[$$-80A]* #,##0_-;\-[$$-80A]* #,##0_-;_-[$$-80A]* &quot;-&quot;??_-;_-@_-"/>
    <numFmt numFmtId="168" formatCode="_-[$$-80A]* #,##0.00_-;\-[$$-80A]* #,##0.00_-;_-[$$-80A]* &quot;-&quot;??_-;_-@_-"/>
    <numFmt numFmtId="169" formatCode="[$USD]\ #,##0.00"/>
    <numFmt numFmtId="170" formatCode="[$USD]\ #,##0"/>
    <numFmt numFmtId="171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Bookman Old Style"/>
      <family val="1"/>
    </font>
    <font>
      <sz val="10"/>
      <color theme="0"/>
      <name val="Bookman Old Style"/>
      <family val="1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0"/>
      <color theme="0"/>
      <name val="Bookman Old Style"/>
      <family val="1"/>
    </font>
    <font>
      <b/>
      <sz val="12"/>
      <color theme="0"/>
      <name val="Bookman Old Style"/>
      <family val="1"/>
    </font>
    <font>
      <sz val="10"/>
      <color rgb="FFFFFFFF"/>
      <name val="Bookman Old Style"/>
      <family val="1"/>
    </font>
    <font>
      <vertAlign val="superscript"/>
      <sz val="10"/>
      <color rgb="FFFFFFFF"/>
      <name val="Bookman Old Style"/>
      <family val="1"/>
    </font>
    <font>
      <b/>
      <vertAlign val="superscript"/>
      <sz val="10"/>
      <color theme="0"/>
      <name val="Bookman Old Style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Bookman Old Style"/>
      <family val="1"/>
    </font>
    <font>
      <sz val="8"/>
      <name val="Calibri"/>
      <family val="2"/>
      <scheme val="minor"/>
    </font>
    <font>
      <b/>
      <sz val="14"/>
      <color theme="0"/>
      <name val="Bookman Old Style"/>
      <family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Bookman Old Style"/>
      <family val="1"/>
    </font>
    <font>
      <i/>
      <sz val="11"/>
      <color rgb="FF000000"/>
      <name val="Calibri"/>
      <family val="2"/>
      <scheme val="minor"/>
    </font>
    <font>
      <i/>
      <sz val="10"/>
      <color rgb="FF000000"/>
      <name val="Bookman Old Style"/>
      <family val="1"/>
    </font>
    <font>
      <b/>
      <sz val="12"/>
      <color theme="1" tint="0.499984740745262"/>
      <name val="Bookman Old Style"/>
      <family val="1"/>
    </font>
    <font>
      <sz val="10"/>
      <color theme="1" tint="0.499984740745262"/>
      <name val="Bookman Old Style"/>
      <family val="1"/>
    </font>
    <font>
      <b/>
      <sz val="14"/>
      <color theme="1"/>
      <name val="Bookman Old Style"/>
      <family val="1"/>
    </font>
    <font>
      <b/>
      <i/>
      <sz val="10"/>
      <color rgb="FF000000"/>
      <name val="Bookman Old Style"/>
      <family val="1"/>
    </font>
    <font>
      <b/>
      <sz val="10"/>
      <color rgb="FF000000"/>
      <name val="Bookman Old Style"/>
      <family val="1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4" fillId="0" borderId="0"/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7" xfId="0" applyFont="1" applyBorder="1"/>
    <xf numFmtId="0" fontId="4" fillId="2" borderId="1" xfId="0" applyFont="1" applyFill="1" applyBorder="1"/>
    <xf numFmtId="0" fontId="5" fillId="0" borderId="0" xfId="0" applyFont="1"/>
    <xf numFmtId="0" fontId="7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5" fillId="6" borderId="0" xfId="0" applyFont="1" applyFill="1"/>
    <xf numFmtId="0" fontId="16" fillId="0" borderId="0" xfId="0" applyFont="1"/>
    <xf numFmtId="0" fontId="15" fillId="2" borderId="2" xfId="0" applyFont="1" applyFill="1" applyBorder="1" applyAlignment="1">
      <alignment horizontal="center" vertical="center"/>
    </xf>
    <xf numFmtId="167" fontId="0" fillId="0" borderId="0" xfId="0" applyNumberFormat="1"/>
    <xf numFmtId="0" fontId="5" fillId="3" borderId="1" xfId="0" applyFont="1" applyFill="1" applyBorder="1"/>
    <xf numFmtId="42" fontId="5" fillId="0" borderId="1" xfId="15" applyFont="1" applyFill="1" applyBorder="1"/>
    <xf numFmtId="0" fontId="5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5" fillId="3" borderId="1" xfId="0" applyNumberFormat="1" applyFont="1" applyFill="1" applyBorder="1"/>
    <xf numFmtId="0" fontId="0" fillId="0" borderId="7" xfId="0" applyBorder="1"/>
    <xf numFmtId="167" fontId="0" fillId="0" borderId="8" xfId="0" applyNumberFormat="1" applyBorder="1"/>
    <xf numFmtId="164" fontId="0" fillId="0" borderId="0" xfId="0" applyNumberFormat="1"/>
    <xf numFmtId="168" fontId="0" fillId="0" borderId="0" xfId="0" applyNumberFormat="1"/>
    <xf numFmtId="9" fontId="0" fillId="0" borderId="0" xfId="0" applyNumberFormat="1"/>
    <xf numFmtId="0" fontId="0" fillId="0" borderId="1" xfId="0" applyBorder="1"/>
    <xf numFmtId="168" fontId="12" fillId="0" borderId="0" xfId="0" applyNumberFormat="1" applyFont="1"/>
    <xf numFmtId="167" fontId="0" fillId="0" borderId="1" xfId="0" applyNumberFormat="1" applyBorder="1"/>
    <xf numFmtId="0" fontId="9" fillId="2" borderId="13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169" fontId="5" fillId="0" borderId="1" xfId="0" applyNumberFormat="1" applyFont="1" applyBorder="1"/>
    <xf numFmtId="42" fontId="5" fillId="0" borderId="8" xfId="0" applyNumberFormat="1" applyFont="1" applyBorder="1"/>
    <xf numFmtId="0" fontId="5" fillId="3" borderId="11" xfId="0" applyFont="1" applyFill="1" applyBorder="1"/>
    <xf numFmtId="0" fontId="5" fillId="3" borderId="10" xfId="0" applyFont="1" applyFill="1" applyBorder="1"/>
    <xf numFmtId="169" fontId="5" fillId="0" borderId="1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/>
    </xf>
    <xf numFmtId="42" fontId="5" fillId="3" borderId="10" xfId="15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2" fontId="5" fillId="3" borderId="10" xfId="0" applyNumberFormat="1" applyFont="1" applyFill="1" applyBorder="1"/>
    <xf numFmtId="0" fontId="6" fillId="0" borderId="1" xfId="0" applyFont="1" applyBorder="1"/>
    <xf numFmtId="9" fontId="5" fillId="0" borderId="1" xfId="0" applyNumberFormat="1" applyFont="1" applyBorder="1"/>
    <xf numFmtId="0" fontId="4" fillId="2" borderId="18" xfId="0" applyFont="1" applyFill="1" applyBorder="1"/>
    <xf numFmtId="0" fontId="4" fillId="2" borderId="4" xfId="0" applyFont="1" applyFill="1" applyBorder="1"/>
    <xf numFmtId="0" fontId="21" fillId="2" borderId="4" xfId="0" applyFont="1" applyFill="1" applyBorder="1"/>
    <xf numFmtId="0" fontId="21" fillId="2" borderId="20" xfId="0" applyFont="1" applyFill="1" applyBorder="1"/>
    <xf numFmtId="0" fontId="5" fillId="0" borderId="12" xfId="0" applyFont="1" applyBorder="1"/>
    <xf numFmtId="0" fontId="12" fillId="0" borderId="13" xfId="0" applyFont="1" applyBorder="1" applyAlignment="1">
      <alignment vertical="center" wrapText="1"/>
    </xf>
    <xf numFmtId="0" fontId="23" fillId="0" borderId="13" xfId="0" applyFont="1" applyBorder="1" applyAlignment="1">
      <alignment horizontal="center"/>
    </xf>
    <xf numFmtId="42" fontId="5" fillId="0" borderId="13" xfId="15" applyFont="1" applyFill="1" applyBorder="1"/>
    <xf numFmtId="1" fontId="5" fillId="0" borderId="1" xfId="0" applyNumberFormat="1" applyFont="1" applyBorder="1"/>
    <xf numFmtId="170" fontId="5" fillId="0" borderId="1" xfId="0" applyNumberFormat="1" applyFont="1" applyBorder="1"/>
    <xf numFmtId="42" fontId="5" fillId="0" borderId="1" xfId="15" applyFont="1" applyBorder="1"/>
    <xf numFmtId="42" fontId="22" fillId="0" borderId="13" xfId="0" applyNumberFormat="1" applyFont="1" applyBorder="1"/>
    <xf numFmtId="9" fontId="5" fillId="0" borderId="0" xfId="0" applyNumberFormat="1" applyFont="1" applyAlignment="1">
      <alignment horizontal="center"/>
    </xf>
    <xf numFmtId="9" fontId="5" fillId="0" borderId="0" xfId="0" applyNumberFormat="1" applyFont="1"/>
    <xf numFmtId="42" fontId="5" fillId="0" borderId="1" xfId="0" applyNumberFormat="1" applyFont="1" applyBorder="1"/>
    <xf numFmtId="0" fontId="25" fillId="7" borderId="1" xfId="0" applyFont="1" applyFill="1" applyBorder="1"/>
    <xf numFmtId="10" fontId="26" fillId="0" borderId="3" xfId="16" applyNumberFormat="1" applyFont="1" applyBorder="1"/>
    <xf numFmtId="10" fontId="24" fillId="0" borderId="3" xfId="16" applyNumberFormat="1" applyFont="1" applyBorder="1"/>
    <xf numFmtId="9" fontId="5" fillId="3" borderId="1" xfId="0" applyNumberFormat="1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9" fontId="5" fillId="3" borderId="10" xfId="0" applyNumberFormat="1" applyFont="1" applyFill="1" applyBorder="1"/>
    <xf numFmtId="42" fontId="2" fillId="0" borderId="0" xfId="0" applyNumberFormat="1" applyFont="1"/>
    <xf numFmtId="0" fontId="27" fillId="10" borderId="9" xfId="0" applyFont="1" applyFill="1" applyBorder="1" applyAlignment="1">
      <alignment horizontal="center"/>
    </xf>
    <xf numFmtId="0" fontId="27" fillId="10" borderId="0" xfId="0" applyFont="1" applyFill="1" applyAlignment="1">
      <alignment horizontal="center"/>
    </xf>
    <xf numFmtId="0" fontId="28" fillId="10" borderId="0" xfId="0" applyFont="1" applyFill="1"/>
    <xf numFmtId="42" fontId="13" fillId="8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9" fontId="5" fillId="11" borderId="1" xfId="0" applyNumberFormat="1" applyFont="1" applyFill="1" applyBorder="1" applyAlignment="1">
      <alignment horizontal="right"/>
    </xf>
    <xf numFmtId="42" fontId="5" fillId="11" borderId="3" xfId="15" applyFont="1" applyFill="1" applyBorder="1"/>
    <xf numFmtId="42" fontId="30" fillId="11" borderId="3" xfId="15" applyFont="1" applyFill="1" applyBorder="1"/>
    <xf numFmtId="0" fontId="9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169" fontId="24" fillId="0" borderId="1" xfId="0" applyNumberFormat="1" applyFont="1" applyBorder="1" applyAlignment="1">
      <alignment horizontal="right"/>
    </xf>
    <xf numFmtId="42" fontId="24" fillId="0" borderId="1" xfId="0" applyNumberFormat="1" applyFont="1" applyBorder="1"/>
    <xf numFmtId="42" fontId="5" fillId="6" borderId="1" xfId="15" applyFont="1" applyFill="1" applyBorder="1"/>
    <xf numFmtId="42" fontId="5" fillId="6" borderId="1" xfId="0" applyNumberFormat="1" applyFont="1" applyFill="1" applyBorder="1"/>
    <xf numFmtId="42" fontId="29" fillId="8" borderId="2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11" borderId="1" xfId="0" applyFill="1" applyBorder="1"/>
    <xf numFmtId="167" fontId="0" fillId="11" borderId="1" xfId="0" applyNumberFormat="1" applyFill="1" applyBorder="1"/>
    <xf numFmtId="167" fontId="0" fillId="3" borderId="1" xfId="0" applyNumberFormat="1" applyFill="1" applyBorder="1"/>
    <xf numFmtId="0" fontId="0" fillId="14" borderId="12" xfId="0" applyFill="1" applyBorder="1"/>
    <xf numFmtId="0" fontId="0" fillId="14" borderId="13" xfId="0" applyFill="1" applyBorder="1"/>
    <xf numFmtId="167" fontId="0" fillId="14" borderId="13" xfId="0" applyNumberFormat="1" applyFill="1" applyBorder="1"/>
    <xf numFmtId="0" fontId="0" fillId="3" borderId="7" xfId="0" applyFill="1" applyBorder="1"/>
    <xf numFmtId="0" fontId="0" fillId="0" borderId="11" xfId="0" applyBorder="1"/>
    <xf numFmtId="0" fontId="0" fillId="0" borderId="23" xfId="0" applyBorder="1"/>
    <xf numFmtId="9" fontId="0" fillId="0" borderId="24" xfId="0" applyNumberFormat="1" applyBorder="1"/>
    <xf numFmtId="0" fontId="13" fillId="5" borderId="12" xfId="0" applyFont="1" applyFill="1" applyBorder="1"/>
    <xf numFmtId="167" fontId="13" fillId="5" borderId="14" xfId="0" applyNumberFormat="1" applyFont="1" applyFill="1" applyBorder="1"/>
    <xf numFmtId="0" fontId="13" fillId="5" borderId="7" xfId="0" applyFont="1" applyFill="1" applyBorder="1"/>
    <xf numFmtId="9" fontId="13" fillId="5" borderId="8" xfId="0" applyNumberFormat="1" applyFont="1" applyFill="1" applyBorder="1"/>
    <xf numFmtId="0" fontId="13" fillId="5" borderId="11" xfId="0" applyFont="1" applyFill="1" applyBorder="1"/>
    <xf numFmtId="167" fontId="0" fillId="3" borderId="10" xfId="0" applyNumberFormat="1" applyFill="1" applyBorder="1"/>
    <xf numFmtId="171" fontId="13" fillId="13" borderId="21" xfId="16" applyNumberFormat="1" applyFont="1" applyFill="1" applyBorder="1"/>
    <xf numFmtId="167" fontId="0" fillId="14" borderId="25" xfId="0" applyNumberFormat="1" applyFill="1" applyBorder="1"/>
    <xf numFmtId="167" fontId="0" fillId="11" borderId="2" xfId="0" applyNumberFormat="1" applyFill="1" applyBorder="1"/>
    <xf numFmtId="167" fontId="0" fillId="15" borderId="1" xfId="0" applyNumberFormat="1" applyFill="1" applyBorder="1"/>
    <xf numFmtId="167" fontId="0" fillId="13" borderId="1" xfId="0" applyNumberFormat="1" applyFill="1" applyBorder="1"/>
    <xf numFmtId="167" fontId="0" fillId="11" borderId="10" xfId="0" applyNumberFormat="1" applyFill="1" applyBorder="1"/>
    <xf numFmtId="167" fontId="0" fillId="11" borderId="26" xfId="0" applyNumberFormat="1" applyFill="1" applyBorder="1"/>
    <xf numFmtId="42" fontId="27" fillId="10" borderId="0" xfId="0" applyNumberFormat="1" applyFont="1" applyFill="1" applyAlignment="1">
      <alignment horizontal="center"/>
    </xf>
    <xf numFmtId="171" fontId="0" fillId="0" borderId="0" xfId="0" applyNumberFormat="1"/>
    <xf numFmtId="169" fontId="5" fillId="0" borderId="0" xfId="0" applyNumberFormat="1" applyFont="1"/>
    <xf numFmtId="0" fontId="5" fillId="0" borderId="18" xfId="0" applyFont="1" applyBorder="1"/>
    <xf numFmtId="0" fontId="6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169" fontId="5" fillId="0" borderId="4" xfId="0" applyNumberFormat="1" applyFont="1" applyBorder="1" applyAlignment="1">
      <alignment horizontal="right"/>
    </xf>
    <xf numFmtId="42" fontId="24" fillId="0" borderId="4" xfId="0" applyNumberFormat="1" applyFont="1" applyBorder="1"/>
    <xf numFmtId="169" fontId="5" fillId="0" borderId="4" xfId="0" applyNumberFormat="1" applyFont="1" applyBorder="1"/>
    <xf numFmtId="42" fontId="5" fillId="0" borderId="20" xfId="0" applyNumberFormat="1" applyFont="1" applyBorder="1"/>
    <xf numFmtId="0" fontId="5" fillId="0" borderId="27" xfId="0" applyFont="1" applyBorder="1"/>
    <xf numFmtId="0" fontId="12" fillId="0" borderId="28" xfId="0" applyFont="1" applyBorder="1" applyAlignment="1">
      <alignment vertical="center" wrapText="1"/>
    </xf>
    <xf numFmtId="0" fontId="23" fillId="0" borderId="28" xfId="0" applyFont="1" applyBorder="1" applyAlignment="1">
      <alignment horizontal="center"/>
    </xf>
    <xf numFmtId="42" fontId="5" fillId="0" borderId="28" xfId="15" applyFont="1" applyFill="1" applyBorder="1"/>
    <xf numFmtId="42" fontId="0" fillId="0" borderId="0" xfId="15" applyFont="1"/>
    <xf numFmtId="42" fontId="0" fillId="0" borderId="0" xfId="0" applyNumberFormat="1"/>
    <xf numFmtId="0" fontId="0" fillId="0" borderId="0" xfId="16" applyNumberFormat="1" applyFont="1"/>
    <xf numFmtId="0" fontId="20" fillId="2" borderId="19" xfId="0" applyFont="1" applyFill="1" applyBorder="1" applyAlignment="1">
      <alignment horizontal="center"/>
    </xf>
    <xf numFmtId="0" fontId="20" fillId="2" borderId="22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</cellXfs>
  <cellStyles count="20">
    <cellStyle name="Millares [0] 2" xfId="6" xr:uid="{00000000-0005-0000-0000-000002000000}"/>
    <cellStyle name="Millares 2" xfId="2" xr:uid="{00000000-0005-0000-0000-000003000000}"/>
    <cellStyle name="Millares 3" xfId="1" xr:uid="{00000000-0005-0000-0000-000004000000}"/>
    <cellStyle name="Millares 4" xfId="5" xr:uid="{00000000-0005-0000-0000-000005000000}"/>
    <cellStyle name="Millares 5" xfId="9" xr:uid="{00000000-0005-0000-0000-000006000000}"/>
    <cellStyle name="Millares 6" xfId="12" xr:uid="{00000000-0005-0000-0000-000007000000}"/>
    <cellStyle name="Millares 7" xfId="11" xr:uid="{00000000-0005-0000-0000-000008000000}"/>
    <cellStyle name="Millares 8" xfId="17" xr:uid="{00000000-0005-0000-0000-000009000000}"/>
    <cellStyle name="Moneda [0]" xfId="15" builtinId="7"/>
    <cellStyle name="Moneda [0] 2" xfId="4" xr:uid="{00000000-0005-0000-0000-00000B000000}"/>
    <cellStyle name="Moneda 2" xfId="3" xr:uid="{00000000-0005-0000-0000-00000C000000}"/>
    <cellStyle name="Moneda 3" xfId="7" xr:uid="{00000000-0005-0000-0000-00000D000000}"/>
    <cellStyle name="Moneda 4" xfId="8" xr:uid="{00000000-0005-0000-0000-00000E000000}"/>
    <cellStyle name="Moneda 5" xfId="10" xr:uid="{00000000-0005-0000-0000-00000F000000}"/>
    <cellStyle name="Moneda 6" xfId="13" xr:uid="{00000000-0005-0000-0000-000010000000}"/>
    <cellStyle name="Moneda 7" xfId="14" xr:uid="{00000000-0005-0000-0000-000011000000}"/>
    <cellStyle name="Moneda 8" xfId="18" xr:uid="{00000000-0005-0000-0000-000012000000}"/>
    <cellStyle name="Normal" xfId="0" builtinId="0"/>
    <cellStyle name="Normal 2" xfId="19" xr:uid="{00000000-0005-0000-0000-000014000000}"/>
    <cellStyle name="Porcentaje" xfId="1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FLUJO</a:t>
            </a:r>
            <a:r>
              <a:rPr lang="es-MX" baseline="0"/>
              <a:t> DE CAJA POR AÑO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'Flujo de Caja 2.0'!$F$22:$J$22</c:f>
              <c:numCache>
                <c:formatCode>_-[$$-80A]* #,##0_-;\-[$$-80A]* #,##0_-;_-[$$-80A]* "-"??_-;_-@_-</c:formatCode>
                <c:ptCount val="5"/>
                <c:pt idx="0">
                  <c:v>-5494364.1600000001</c:v>
                </c:pt>
                <c:pt idx="1">
                  <c:v>7043717.4286666587</c:v>
                </c:pt>
                <c:pt idx="2">
                  <c:v>24598676.046666667</c:v>
                </c:pt>
                <c:pt idx="3">
                  <c:v>42901002.446400002</c:v>
                </c:pt>
                <c:pt idx="4">
                  <c:v>73900748.763071999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9-9241-9067-72D4C336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028655"/>
        <c:axId val="1551031023"/>
      </c:barChart>
      <c:catAx>
        <c:axId val="155102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1031023"/>
        <c:crosses val="autoZero"/>
        <c:auto val="1"/>
        <c:lblAlgn val="ctr"/>
        <c:lblOffset val="100"/>
        <c:noMultiLvlLbl val="0"/>
      </c:catAx>
      <c:valAx>
        <c:axId val="15510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FLUJO</a:t>
                </a:r>
                <a:r>
                  <a:rPr lang="es-MX" baseline="0"/>
                  <a:t> DE CAJA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[$$-80A]* #,##0_-;\-[$$-80A]* #,##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102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740834</xdr:colOff>
      <xdr:row>29</xdr:row>
      <xdr:rowOff>155506</xdr:rowOff>
    </xdr:from>
    <xdr:to>
      <xdr:col>10</xdr:col>
      <xdr:colOff>306917</xdr:colOff>
      <xdr:row>50</xdr:row>
      <xdr:rowOff>37395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F141A8-4CB8-4CF8-E58A-2752145A3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f2023" preserveFormatting="0" connectionId="1" xr16:uid="{8F4A988D-E2E2-4F8D-9199-116DE218503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27"/>
  <sheetViews>
    <sheetView topLeftCell="A3" workbookViewId="0">
      <selection activeCell="E29" sqref="E29"/>
    </sheetView>
  </sheetViews>
  <sheetFormatPr baseColWidth="10" defaultColWidth="11.5" defaultRowHeight="15" x14ac:dyDescent="0.2"/>
  <cols>
    <col min="1" max="1" width="11.5" style="2"/>
    <col min="2" max="2" width="46.1640625" style="5" customWidth="1"/>
    <col min="3" max="3" width="15.33203125" style="5" bestFit="1" customWidth="1"/>
    <col min="4" max="7" width="16" style="5" bestFit="1" customWidth="1"/>
    <col min="8" max="10" width="11.5" style="2"/>
    <col min="11" max="11" width="23.33203125" style="2" bestFit="1" customWidth="1"/>
    <col min="12" max="12" width="17.1640625" style="2" customWidth="1"/>
    <col min="13" max="16384" width="11.5" style="2"/>
  </cols>
  <sheetData>
    <row r="5" spans="2:12" x14ac:dyDescent="0.2">
      <c r="B5" s="5" t="s">
        <v>86</v>
      </c>
      <c r="C5" s="79">
        <f>D5/949</f>
        <v>36.880927291886195</v>
      </c>
      <c r="D5" s="80">
        <v>35000</v>
      </c>
    </row>
    <row r="6" spans="2:12" x14ac:dyDescent="0.2">
      <c r="B6" s="5" t="s">
        <v>0</v>
      </c>
      <c r="C6" s="5">
        <v>949</v>
      </c>
    </row>
    <row r="7" spans="2:12" x14ac:dyDescent="0.2">
      <c r="B7" s="5" t="s">
        <v>23</v>
      </c>
      <c r="C7" s="5">
        <v>12</v>
      </c>
    </row>
    <row r="9" spans="2:12" ht="18" x14ac:dyDescent="0.2">
      <c r="B9" s="132" t="s">
        <v>1</v>
      </c>
      <c r="C9" s="133"/>
      <c r="D9" s="133"/>
      <c r="E9" s="133"/>
      <c r="F9" s="133"/>
      <c r="G9" s="133"/>
      <c r="J9" s="37" t="s">
        <v>2</v>
      </c>
      <c r="K9" s="37" t="s">
        <v>88</v>
      </c>
      <c r="L9" s="37" t="s">
        <v>5</v>
      </c>
    </row>
    <row r="10" spans="2:12" x14ac:dyDescent="0.2">
      <c r="B10" s="35" t="s">
        <v>3</v>
      </c>
      <c r="C10" s="36" t="s">
        <v>55</v>
      </c>
      <c r="D10" s="36" t="s">
        <v>56</v>
      </c>
      <c r="E10" s="36" t="s">
        <v>57</v>
      </c>
      <c r="F10" s="36" t="s">
        <v>58</v>
      </c>
      <c r="G10" s="36" t="s">
        <v>59</v>
      </c>
      <c r="J10" s="77">
        <v>1</v>
      </c>
      <c r="K10" s="31" t="s">
        <v>90</v>
      </c>
      <c r="L10" s="77">
        <v>136</v>
      </c>
    </row>
    <row r="11" spans="2:12" ht="22.5" customHeight="1" x14ac:dyDescent="0.2">
      <c r="B11" s="31" t="s">
        <v>4</v>
      </c>
      <c r="C11" s="49">
        <v>0.08</v>
      </c>
      <c r="D11" s="49">
        <v>0.18</v>
      </c>
      <c r="E11" s="49">
        <v>0.3</v>
      </c>
      <c r="F11" s="49">
        <v>0.4</v>
      </c>
      <c r="G11" s="68">
        <v>0.6</v>
      </c>
      <c r="J11" s="77">
        <v>3</v>
      </c>
      <c r="K11" s="31" t="s">
        <v>91</v>
      </c>
      <c r="L11" s="77">
        <v>180</v>
      </c>
    </row>
    <row r="12" spans="2:12" ht="25.5" customHeight="1" x14ac:dyDescent="0.2">
      <c r="B12" s="31" t="s">
        <v>5</v>
      </c>
      <c r="C12" s="58">
        <f>$L$27*C11</f>
        <v>285.76</v>
      </c>
      <c r="D12" s="58">
        <f>$L$27*D11</f>
        <v>642.95999999999992</v>
      </c>
      <c r="E12" s="58">
        <f>$L$27*E11</f>
        <v>1071.5999999999999</v>
      </c>
      <c r="F12" s="58">
        <f>$L$27*F11</f>
        <v>1428.8000000000002</v>
      </c>
      <c r="G12" s="58">
        <f>$L$27*G11</f>
        <v>2143.1999999999998</v>
      </c>
      <c r="J12" s="77">
        <v>4</v>
      </c>
      <c r="K12" s="31" t="s">
        <v>92</v>
      </c>
      <c r="L12" s="77">
        <v>220</v>
      </c>
    </row>
    <row r="13" spans="2:12" ht="25.5" customHeight="1" x14ac:dyDescent="0.2">
      <c r="B13" s="31" t="s">
        <v>6</v>
      </c>
      <c r="C13" s="59">
        <f>C12/C7*C5</f>
        <v>878.25781524411661</v>
      </c>
      <c r="D13" s="59">
        <f>D12/C7*C5</f>
        <v>1976.0800842992619</v>
      </c>
      <c r="E13" s="59">
        <f>E12/C7*C5</f>
        <v>3293.4668071654373</v>
      </c>
      <c r="F13" s="59">
        <f>F12/C7*C5</f>
        <v>4391.2890762205834</v>
      </c>
      <c r="G13" s="59">
        <f>G12/C7*C5</f>
        <v>6586.9336143308747</v>
      </c>
      <c r="J13" s="77">
        <v>5</v>
      </c>
      <c r="K13" s="31" t="s">
        <v>93</v>
      </c>
      <c r="L13" s="77">
        <v>228</v>
      </c>
    </row>
    <row r="14" spans="2:12" ht="25.5" customHeight="1" x14ac:dyDescent="0.2">
      <c r="B14" s="31" t="s">
        <v>116</v>
      </c>
      <c r="C14" s="60">
        <f>C12/C7*D5</f>
        <v>833466.66666666663</v>
      </c>
      <c r="D14" s="60">
        <f>D12/C7*D5</f>
        <v>1875299.9999999998</v>
      </c>
      <c r="E14" s="60">
        <f>E12/C7*D5</f>
        <v>3125500</v>
      </c>
      <c r="F14" s="60">
        <f>F12/C7*D5</f>
        <v>4167333.3333333335</v>
      </c>
      <c r="G14" s="60">
        <f>G12/C7*D5</f>
        <v>6251000</v>
      </c>
      <c r="J14" s="77"/>
      <c r="K14" s="31"/>
      <c r="L14" s="77"/>
    </row>
    <row r="15" spans="2:12" x14ac:dyDescent="0.2">
      <c r="B15" s="13" t="s">
        <v>7</v>
      </c>
      <c r="C15" s="60">
        <f>(C13*$C$6)*$C7</f>
        <v>10001600</v>
      </c>
      <c r="D15" s="60">
        <f>(D13*$C$6)*$C7</f>
        <v>22503599.999999993</v>
      </c>
      <c r="E15" s="60">
        <f>(E13*$C$6)*$C7</f>
        <v>37506000</v>
      </c>
      <c r="F15" s="60">
        <f>(F13*$C$6)*$C7</f>
        <v>50008000</v>
      </c>
      <c r="G15" s="60">
        <f>(G13*$C$6)*$C7</f>
        <v>75012000</v>
      </c>
      <c r="J15" s="77">
        <v>6</v>
      </c>
      <c r="K15" s="31" t="s">
        <v>94</v>
      </c>
      <c r="L15" s="77">
        <v>123</v>
      </c>
    </row>
    <row r="16" spans="2:12" x14ac:dyDescent="0.2">
      <c r="B16" s="13" t="s">
        <v>76</v>
      </c>
      <c r="C16" s="81">
        <f>C15*C17+C15</f>
        <v>10225635.84</v>
      </c>
      <c r="D16" s="81">
        <f>D15*D17+D15</f>
        <v>23189959.799999993</v>
      </c>
      <c r="E16" s="81">
        <f>E15*E17+E15</f>
        <v>39193770</v>
      </c>
      <c r="F16" s="81">
        <f>F15*F17+F15</f>
        <v>55853935.200000003</v>
      </c>
      <c r="G16" s="81">
        <f>G15*G17+G15</f>
        <v>83488356</v>
      </c>
      <c r="J16" s="77">
        <v>8</v>
      </c>
      <c r="K16" s="31" t="s">
        <v>95</v>
      </c>
      <c r="L16" s="70">
        <v>163</v>
      </c>
    </row>
    <row r="17" spans="2:12" x14ac:dyDescent="0.2">
      <c r="B17" s="65" t="s">
        <v>8</v>
      </c>
      <c r="C17" s="66">
        <v>2.24E-2</v>
      </c>
      <c r="D17" s="66">
        <v>3.0499999999999999E-2</v>
      </c>
      <c r="E17" s="66">
        <v>4.4999999999999998E-2</v>
      </c>
      <c r="F17" s="66">
        <v>0.1169</v>
      </c>
      <c r="G17" s="67">
        <v>0.113</v>
      </c>
      <c r="J17" s="77">
        <v>9</v>
      </c>
      <c r="K17" s="31" t="s">
        <v>96</v>
      </c>
      <c r="L17" s="77">
        <v>1200</v>
      </c>
    </row>
    <row r="18" spans="2:12" x14ac:dyDescent="0.2">
      <c r="J18" s="77">
        <v>10</v>
      </c>
      <c r="K18" s="31" t="s">
        <v>97</v>
      </c>
      <c r="L18" s="77">
        <v>129</v>
      </c>
    </row>
    <row r="19" spans="2:12" x14ac:dyDescent="0.2">
      <c r="J19" s="77">
        <v>11</v>
      </c>
      <c r="K19" s="31" t="s">
        <v>98</v>
      </c>
      <c r="L19" s="77">
        <v>320</v>
      </c>
    </row>
    <row r="20" spans="2:12" x14ac:dyDescent="0.2">
      <c r="J20" s="77">
        <v>12</v>
      </c>
      <c r="K20" s="31" t="s">
        <v>99</v>
      </c>
      <c r="L20" s="77">
        <v>100</v>
      </c>
    </row>
    <row r="21" spans="2:12" x14ac:dyDescent="0.2">
      <c r="J21" s="77">
        <v>13</v>
      </c>
      <c r="K21" s="31" t="s">
        <v>100</v>
      </c>
      <c r="L21" s="69">
        <v>128</v>
      </c>
    </row>
    <row r="22" spans="2:12" x14ac:dyDescent="0.2">
      <c r="J22" s="77">
        <v>14</v>
      </c>
      <c r="K22" s="31" t="s">
        <v>101</v>
      </c>
      <c r="L22" s="77">
        <v>100</v>
      </c>
    </row>
    <row r="23" spans="2:12" x14ac:dyDescent="0.2">
      <c r="J23" s="77">
        <v>15</v>
      </c>
      <c r="K23" s="31" t="s">
        <v>102</v>
      </c>
      <c r="L23" s="77">
        <v>125</v>
      </c>
    </row>
    <row r="24" spans="2:12" x14ac:dyDescent="0.2">
      <c r="J24" s="77">
        <v>16</v>
      </c>
      <c r="K24" s="31" t="s">
        <v>103</v>
      </c>
      <c r="L24" s="77">
        <v>145</v>
      </c>
    </row>
    <row r="25" spans="2:12" x14ac:dyDescent="0.2">
      <c r="J25" s="77">
        <v>17</v>
      </c>
      <c r="K25" s="31" t="s">
        <v>104</v>
      </c>
      <c r="L25" s="77">
        <v>168</v>
      </c>
    </row>
    <row r="26" spans="2:12" x14ac:dyDescent="0.2">
      <c r="J26" s="77">
        <v>18</v>
      </c>
      <c r="K26" s="31" t="s">
        <v>105</v>
      </c>
      <c r="L26" s="77">
        <v>107</v>
      </c>
    </row>
    <row r="27" spans="2:12" x14ac:dyDescent="0.2">
      <c r="J27" s="31"/>
      <c r="K27" s="31" t="s">
        <v>89</v>
      </c>
      <c r="L27" s="78">
        <f>SUM(L10:L26)</f>
        <v>3572</v>
      </c>
    </row>
  </sheetData>
  <mergeCells count="1">
    <mergeCell ref="B9:G9"/>
  </mergeCells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topLeftCell="B1" zoomScale="130" zoomScaleNormal="130" workbookViewId="0">
      <selection activeCell="G4" sqref="G4:G7"/>
    </sheetView>
  </sheetViews>
  <sheetFormatPr baseColWidth="10" defaultColWidth="11.5" defaultRowHeight="13" x14ac:dyDescent="0.15"/>
  <cols>
    <col min="1" max="1" width="44.1640625" style="5" customWidth="1"/>
    <col min="2" max="2" width="41.5" style="5" customWidth="1"/>
    <col min="3" max="3" width="9.5" style="5" bestFit="1" customWidth="1"/>
    <col min="4" max="4" width="20.5" style="5" customWidth="1"/>
    <col min="5" max="5" width="20" style="5" bestFit="1" customWidth="1"/>
    <col min="6" max="6" width="17.5" style="5" customWidth="1"/>
    <col min="7" max="7" width="18.5" style="5" bestFit="1" customWidth="1"/>
    <col min="8" max="8" width="6.6640625" style="5" customWidth="1"/>
    <col min="9" max="9" width="22.5" style="5" customWidth="1"/>
    <col min="10" max="10" width="15.33203125" style="5" bestFit="1" customWidth="1"/>
    <col min="11" max="16384" width="11.5" style="5"/>
  </cols>
  <sheetData>
    <row r="1" spans="1:10" ht="14" thickBot="1" x14ac:dyDescent="0.2"/>
    <row r="2" spans="1:10" ht="14" thickBot="1" x14ac:dyDescent="0.2">
      <c r="A2" s="134" t="s">
        <v>9</v>
      </c>
      <c r="B2" s="135"/>
      <c r="C2" s="135"/>
      <c r="D2" s="135"/>
      <c r="E2" s="135"/>
      <c r="F2" s="135"/>
      <c r="G2" s="136"/>
      <c r="I2" s="18" t="s">
        <v>10</v>
      </c>
      <c r="J2" s="25">
        <v>45566</v>
      </c>
    </row>
    <row r="3" spans="1:10" ht="17" x14ac:dyDescent="0.15">
      <c r="A3" s="10" t="s">
        <v>11</v>
      </c>
      <c r="B3" s="34" t="s">
        <v>12</v>
      </c>
      <c r="C3" s="11" t="s">
        <v>13</v>
      </c>
      <c r="D3" s="34" t="s">
        <v>14</v>
      </c>
      <c r="E3" s="34" t="s">
        <v>15</v>
      </c>
      <c r="F3" s="34" t="s">
        <v>16</v>
      </c>
      <c r="G3" s="12" t="s">
        <v>17</v>
      </c>
      <c r="I3" s="8" t="s">
        <v>107</v>
      </c>
      <c r="J3" s="60">
        <v>36032.89</v>
      </c>
    </row>
    <row r="4" spans="1:10" x14ac:dyDescent="0.15">
      <c r="A4" s="3" t="s">
        <v>18</v>
      </c>
      <c r="B4" s="38" t="s">
        <v>19</v>
      </c>
      <c r="C4" s="20">
        <v>2</v>
      </c>
      <c r="D4" s="43">
        <f t="shared" ref="D4:D9" si="0">E4/$J$5</f>
        <v>1570.0737618545838</v>
      </c>
      <c r="E4" s="87">
        <v>1490000</v>
      </c>
      <c r="F4" s="39">
        <f t="shared" ref="F4:F9" si="1">G4/$J$5</f>
        <v>3140.1475237091677</v>
      </c>
      <c r="G4" s="40">
        <f>E4*C4</f>
        <v>2980000</v>
      </c>
      <c r="I4" s="8" t="s">
        <v>20</v>
      </c>
      <c r="J4" s="60">
        <v>63074</v>
      </c>
    </row>
    <row r="5" spans="1:10" x14ac:dyDescent="0.15">
      <c r="A5" s="3" t="s">
        <v>18</v>
      </c>
      <c r="B5" s="38" t="s">
        <v>85</v>
      </c>
      <c r="C5" s="20">
        <v>2</v>
      </c>
      <c r="D5" s="43">
        <f t="shared" si="0"/>
        <v>279.23076923076923</v>
      </c>
      <c r="E5" s="87">
        <v>264990</v>
      </c>
      <c r="F5" s="39">
        <f t="shared" si="1"/>
        <v>558.46153846153845</v>
      </c>
      <c r="G5" s="40">
        <f>E5*C5</f>
        <v>529980</v>
      </c>
      <c r="I5" s="8" t="s">
        <v>108</v>
      </c>
      <c r="J5" s="60">
        <v>949</v>
      </c>
    </row>
    <row r="6" spans="1:10" x14ac:dyDescent="0.15">
      <c r="A6" s="3"/>
      <c r="B6" s="38" t="s">
        <v>106</v>
      </c>
      <c r="C6" s="20">
        <v>2</v>
      </c>
      <c r="D6" s="43">
        <f t="shared" si="0"/>
        <v>347.52370916754478</v>
      </c>
      <c r="E6" s="87">
        <v>329800</v>
      </c>
      <c r="F6" s="39">
        <f t="shared" si="1"/>
        <v>695.04741833508956</v>
      </c>
      <c r="G6" s="40">
        <f>E6*C6</f>
        <v>659600</v>
      </c>
    </row>
    <row r="7" spans="1:10" x14ac:dyDescent="0.15">
      <c r="A7" s="3" t="s">
        <v>18</v>
      </c>
      <c r="B7" s="38" t="s">
        <v>75</v>
      </c>
      <c r="C7" s="20">
        <v>2</v>
      </c>
      <c r="D7" s="43">
        <f t="shared" si="0"/>
        <v>355.11064278187564</v>
      </c>
      <c r="E7" s="87">
        <v>337000</v>
      </c>
      <c r="F7" s="39">
        <f t="shared" si="1"/>
        <v>710.22128556375128</v>
      </c>
      <c r="G7" s="40">
        <f>E7*C7</f>
        <v>674000</v>
      </c>
    </row>
    <row r="8" spans="1:10" x14ac:dyDescent="0.15">
      <c r="A8" s="118"/>
      <c r="B8" s="119" t="s">
        <v>109</v>
      </c>
      <c r="C8" s="120">
        <v>1</v>
      </c>
      <c r="D8" s="121">
        <f t="shared" si="0"/>
        <v>10537.40779768177</v>
      </c>
      <c r="E8" s="122">
        <v>10000000</v>
      </c>
      <c r="F8" s="123">
        <f t="shared" si="1"/>
        <v>10537.40779768177</v>
      </c>
      <c r="G8" s="124">
        <f>E8*C8</f>
        <v>10000000</v>
      </c>
    </row>
    <row r="9" spans="1:10" ht="19" thickBot="1" x14ac:dyDescent="0.2">
      <c r="A9" s="41" t="s">
        <v>21</v>
      </c>
      <c r="B9" s="42"/>
      <c r="C9" s="44">
        <f>SUM(C4:C8)</f>
        <v>9</v>
      </c>
      <c r="D9" s="71">
        <f t="shared" si="0"/>
        <v>13089.346680716544</v>
      </c>
      <c r="E9" s="45">
        <f>SUM(E4:E8)</f>
        <v>12421790</v>
      </c>
      <c r="F9" s="71">
        <f t="shared" si="1"/>
        <v>15641.285563751317</v>
      </c>
      <c r="G9" s="90">
        <f>SUM(G4:G8)</f>
        <v>14843580</v>
      </c>
    </row>
    <row r="10" spans="1:10" x14ac:dyDescent="0.15">
      <c r="D10" s="117"/>
    </row>
  </sheetData>
  <mergeCells count="1">
    <mergeCell ref="A2:G2"/>
  </mergeCells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zoomScale="90" zoomScaleNormal="90" workbookViewId="0">
      <selection activeCell="D19" sqref="D19"/>
    </sheetView>
  </sheetViews>
  <sheetFormatPr baseColWidth="10" defaultColWidth="11.5" defaultRowHeight="14" x14ac:dyDescent="0.2"/>
  <cols>
    <col min="1" max="1" width="15.83203125" style="1" bestFit="1" customWidth="1"/>
    <col min="2" max="2" width="65.1640625" style="1" bestFit="1" customWidth="1"/>
    <col min="3" max="4" width="20.5" style="1" customWidth="1"/>
    <col min="5" max="5" width="17.33203125" style="1" customWidth="1"/>
    <col min="6" max="8" width="19.1640625" style="1" bestFit="1" customWidth="1"/>
    <col min="9" max="9" width="19.83203125" style="1" bestFit="1" customWidth="1"/>
    <col min="10" max="10" width="16.6640625" style="1" bestFit="1" customWidth="1"/>
    <col min="11" max="15" width="8.83203125" style="1" bestFit="1" customWidth="1"/>
    <col min="16" max="16384" width="11.5" style="1"/>
  </cols>
  <sheetData>
    <row r="1" spans="1:15" s="5" customFormat="1" ht="17" x14ac:dyDescent="0.2">
      <c r="A1" s="137" t="s">
        <v>22</v>
      </c>
      <c r="B1" s="138"/>
      <c r="C1" s="138"/>
      <c r="D1" s="138"/>
      <c r="E1" s="138"/>
      <c r="F1" s="138"/>
      <c r="G1" s="138"/>
    </row>
    <row r="2" spans="1:15" s="75" customFormat="1" ht="16" x14ac:dyDescent="0.2">
      <c r="A2" s="73" t="s">
        <v>23</v>
      </c>
      <c r="B2" s="74">
        <v>12</v>
      </c>
      <c r="C2" s="74"/>
      <c r="D2" s="115">
        <f t="shared" ref="D2:I2" si="0">D9/$B$2</f>
        <v>1310000</v>
      </c>
      <c r="E2" s="115">
        <f t="shared" si="0"/>
        <v>1310000</v>
      </c>
      <c r="F2" s="115">
        <f t="shared" si="0"/>
        <v>1414800</v>
      </c>
      <c r="G2" s="115">
        <f t="shared" si="0"/>
        <v>1527984</v>
      </c>
      <c r="H2" s="115">
        <f t="shared" si="0"/>
        <v>1650222.72</v>
      </c>
      <c r="I2" s="115">
        <f t="shared" si="0"/>
        <v>1782240.5376000002</v>
      </c>
    </row>
    <row r="3" spans="1:15" s="5" customFormat="1" ht="13" x14ac:dyDescent="0.15">
      <c r="A3" s="6"/>
      <c r="B3" s="7">
        <v>12</v>
      </c>
      <c r="C3" s="7"/>
      <c r="D3" s="7"/>
      <c r="E3" s="7"/>
      <c r="F3" s="62">
        <v>0.08</v>
      </c>
      <c r="G3" s="62">
        <v>0.08</v>
      </c>
      <c r="H3" s="63">
        <v>0.08</v>
      </c>
      <c r="I3" s="63">
        <v>0.08</v>
      </c>
    </row>
    <row r="4" spans="1:15" s="5" customFormat="1" ht="15.75" customHeight="1" x14ac:dyDescent="0.15">
      <c r="A4" s="141" t="s">
        <v>24</v>
      </c>
      <c r="B4" s="142"/>
      <c r="C4" s="142"/>
      <c r="D4" s="142"/>
      <c r="E4" s="142"/>
      <c r="F4" s="142"/>
      <c r="G4" s="142"/>
      <c r="H4" s="142"/>
      <c r="I4" s="142"/>
    </row>
    <row r="5" spans="1:15" s="5" customFormat="1" thickBot="1" x14ac:dyDescent="0.2">
      <c r="A5" s="50" t="s">
        <v>25</v>
      </c>
      <c r="B5" s="51" t="s">
        <v>26</v>
      </c>
      <c r="C5" s="52" t="s">
        <v>13</v>
      </c>
      <c r="D5" s="52" t="s">
        <v>27</v>
      </c>
      <c r="E5" s="52" t="s">
        <v>28</v>
      </c>
      <c r="F5" s="52" t="s">
        <v>112</v>
      </c>
      <c r="G5" s="53" t="s">
        <v>113</v>
      </c>
      <c r="H5" s="53" t="s">
        <v>114</v>
      </c>
      <c r="I5" s="53" t="s">
        <v>115</v>
      </c>
    </row>
    <row r="6" spans="1:15" s="5" customFormat="1" ht="17" thickBot="1" x14ac:dyDescent="0.2">
      <c r="A6" s="54" t="s">
        <v>83</v>
      </c>
      <c r="B6" s="55" t="s">
        <v>87</v>
      </c>
      <c r="C6" s="56">
        <v>1</v>
      </c>
      <c r="D6" s="57">
        <v>3500000</v>
      </c>
      <c r="E6" s="57">
        <f>C6*D6</f>
        <v>3500000</v>
      </c>
      <c r="F6" s="61">
        <f>E6*1.08</f>
        <v>3780000.0000000005</v>
      </c>
      <c r="G6" s="61">
        <f t="shared" ref="G6:I6" si="1">F6*1.08</f>
        <v>4082400.0000000009</v>
      </c>
      <c r="H6" s="61">
        <f t="shared" si="1"/>
        <v>4408992.0000000009</v>
      </c>
      <c r="I6" s="61">
        <f t="shared" si="1"/>
        <v>4761711.3600000013</v>
      </c>
    </row>
    <row r="7" spans="1:15" s="5" customFormat="1" ht="17" thickBot="1" x14ac:dyDescent="0.2">
      <c r="A7" s="125" t="s">
        <v>110</v>
      </c>
      <c r="B7" s="126" t="s">
        <v>111</v>
      </c>
      <c r="C7" s="127">
        <v>1</v>
      </c>
      <c r="D7" s="128">
        <v>2500000</v>
      </c>
      <c r="E7" s="57">
        <f>C7*D7</f>
        <v>2500000</v>
      </c>
      <c r="F7" s="61">
        <f>E7*1.08</f>
        <v>2700000</v>
      </c>
      <c r="G7" s="61">
        <f t="shared" ref="G7:I7" si="2">F7*1.08</f>
        <v>2916000</v>
      </c>
      <c r="H7" s="61">
        <f t="shared" si="2"/>
        <v>3149280</v>
      </c>
      <c r="I7" s="61">
        <f t="shared" si="2"/>
        <v>3401222.4000000004</v>
      </c>
    </row>
    <row r="8" spans="1:15" s="5" customFormat="1" ht="15" x14ac:dyDescent="0.2">
      <c r="A8" s="3" t="s">
        <v>29</v>
      </c>
      <c r="B8" s="48" t="s">
        <v>117</v>
      </c>
      <c r="C8" s="46">
        <v>1</v>
      </c>
      <c r="D8" s="19">
        <f>810000*B2</f>
        <v>9720000</v>
      </c>
      <c r="E8" s="57">
        <f>D8</f>
        <v>9720000</v>
      </c>
      <c r="F8" s="61">
        <f>E8*1.08</f>
        <v>10497600</v>
      </c>
      <c r="G8" s="61">
        <f t="shared" ref="G8:I8" si="3">F8*1.08</f>
        <v>11337408</v>
      </c>
      <c r="H8" s="61">
        <f t="shared" si="3"/>
        <v>12244400.640000001</v>
      </c>
      <c r="I8" s="61">
        <f t="shared" si="3"/>
        <v>13223952.691200001</v>
      </c>
      <c r="J8"/>
      <c r="K8"/>
      <c r="L8"/>
      <c r="M8"/>
      <c r="N8"/>
      <c r="O8"/>
    </row>
    <row r="9" spans="1:15" s="5" customFormat="1" ht="20" thickBot="1" x14ac:dyDescent="0.3">
      <c r="A9" s="139" t="s">
        <v>30</v>
      </c>
      <c r="B9" s="140"/>
      <c r="C9" s="42"/>
      <c r="D9" s="47">
        <f t="shared" ref="D9:I9" si="4">SUM(D6:D8)</f>
        <v>15720000</v>
      </c>
      <c r="E9" s="47">
        <f t="shared" si="4"/>
        <v>15720000</v>
      </c>
      <c r="F9" s="47">
        <f t="shared" si="4"/>
        <v>16977600</v>
      </c>
      <c r="G9" s="47">
        <f t="shared" si="4"/>
        <v>18335808</v>
      </c>
      <c r="H9" s="47">
        <f t="shared" si="4"/>
        <v>19802672.640000001</v>
      </c>
      <c r="I9" s="47">
        <f t="shared" si="4"/>
        <v>21386886.451200001</v>
      </c>
      <c r="J9" s="76">
        <f>SUM(E9:I9)</f>
        <v>92222967.091199994</v>
      </c>
      <c r="K9"/>
      <c r="L9"/>
      <c r="M9"/>
      <c r="N9"/>
      <c r="O9"/>
    </row>
    <row r="10" spans="1:15" ht="15" x14ac:dyDescent="0.2">
      <c r="K10"/>
      <c r="L10"/>
      <c r="M10"/>
      <c r="N10"/>
      <c r="O10"/>
    </row>
    <row r="11" spans="1:15" ht="15" x14ac:dyDescent="0.2">
      <c r="J11"/>
      <c r="K11"/>
      <c r="L11"/>
      <c r="M11"/>
      <c r="N11"/>
      <c r="O11"/>
    </row>
    <row r="12" spans="1:15" ht="15" x14ac:dyDescent="0.2">
      <c r="K12"/>
      <c r="L12"/>
      <c r="M12"/>
      <c r="N12"/>
      <c r="O12"/>
    </row>
    <row r="13" spans="1:15" ht="15" x14ac:dyDescent="0.2">
      <c r="K13"/>
      <c r="L13"/>
      <c r="M13"/>
      <c r="N13"/>
      <c r="O13"/>
    </row>
    <row r="14" spans="1:15" ht="15" customHeight="1" x14ac:dyDescent="0.2">
      <c r="K14"/>
      <c r="L14"/>
      <c r="M14"/>
      <c r="N14"/>
      <c r="O14"/>
    </row>
    <row r="15" spans="1:15" ht="15" customHeight="1" x14ac:dyDescent="0.2">
      <c r="K15"/>
      <c r="L15"/>
      <c r="M15"/>
      <c r="N15"/>
      <c r="O15"/>
    </row>
    <row r="16" spans="1:15" ht="15" x14ac:dyDescent="0.2">
      <c r="J16"/>
      <c r="K16"/>
      <c r="L16"/>
      <c r="M16"/>
      <c r="N16"/>
      <c r="O16"/>
    </row>
    <row r="17" spans="5:15" ht="15" x14ac:dyDescent="0.2">
      <c r="E17" s="72"/>
      <c r="J17"/>
      <c r="K17"/>
      <c r="L17"/>
      <c r="M17"/>
      <c r="N17"/>
      <c r="O17"/>
    </row>
    <row r="18" spans="5:15" ht="15" x14ac:dyDescent="0.2">
      <c r="E18" s="72"/>
      <c r="J18"/>
      <c r="K18"/>
      <c r="L18"/>
      <c r="M18"/>
      <c r="N18"/>
      <c r="O18"/>
    </row>
    <row r="19" spans="5:15" ht="15" x14ac:dyDescent="0.2">
      <c r="J19"/>
      <c r="K19"/>
      <c r="L19"/>
      <c r="M19"/>
      <c r="N19"/>
      <c r="O19"/>
    </row>
    <row r="20" spans="5:15" ht="15" x14ac:dyDescent="0.2">
      <c r="J20"/>
      <c r="K20"/>
      <c r="L20"/>
      <c r="M20"/>
      <c r="N20"/>
      <c r="O20"/>
    </row>
    <row r="21" spans="5:15" ht="15" x14ac:dyDescent="0.2">
      <c r="J21"/>
      <c r="K21"/>
      <c r="L21"/>
      <c r="M21"/>
      <c r="N21"/>
      <c r="O21"/>
    </row>
    <row r="22" spans="5:15" ht="15" x14ac:dyDescent="0.2">
      <c r="J22"/>
      <c r="K22"/>
      <c r="L22"/>
      <c r="M22"/>
      <c r="N22"/>
      <c r="O22"/>
    </row>
    <row r="23" spans="5:15" ht="15" x14ac:dyDescent="0.2">
      <c r="J23"/>
      <c r="K23"/>
      <c r="L23"/>
      <c r="M23"/>
      <c r="N23"/>
      <c r="O23"/>
    </row>
    <row r="24" spans="5:15" ht="15" x14ac:dyDescent="0.2">
      <c r="J24"/>
      <c r="K24"/>
      <c r="L24"/>
      <c r="M24"/>
      <c r="N24"/>
      <c r="O24"/>
    </row>
    <row r="25" spans="5:15" ht="15" x14ac:dyDescent="0.2">
      <c r="J25"/>
      <c r="K25"/>
      <c r="L25"/>
      <c r="M25"/>
      <c r="N25"/>
      <c r="O25"/>
    </row>
    <row r="26" spans="5:15" ht="15" x14ac:dyDescent="0.2">
      <c r="J26"/>
      <c r="K26"/>
      <c r="L26"/>
      <c r="M26"/>
      <c r="N26"/>
      <c r="O26"/>
    </row>
    <row r="27" spans="5:15" ht="15" x14ac:dyDescent="0.2">
      <c r="J27"/>
      <c r="K27"/>
      <c r="L27"/>
      <c r="M27"/>
      <c r="N27"/>
      <c r="O27"/>
    </row>
    <row r="28" spans="5:15" ht="15" customHeight="1" x14ac:dyDescent="0.2">
      <c r="J28"/>
      <c r="K28"/>
      <c r="L28"/>
      <c r="M28"/>
      <c r="N28"/>
      <c r="O28"/>
    </row>
    <row r="29" spans="5:15" ht="15" customHeight="1" x14ac:dyDescent="0.2">
      <c r="J29"/>
      <c r="K29"/>
      <c r="L29"/>
      <c r="M29"/>
      <c r="N29"/>
      <c r="O29"/>
    </row>
    <row r="30" spans="5:15" ht="15" x14ac:dyDescent="0.2">
      <c r="J30"/>
      <c r="K30"/>
      <c r="L30"/>
      <c r="M30"/>
      <c r="N30"/>
      <c r="O30"/>
    </row>
    <row r="31" spans="5:15" ht="15" x14ac:dyDescent="0.2">
      <c r="J31"/>
      <c r="K31"/>
      <c r="L31"/>
      <c r="M31"/>
      <c r="N31"/>
      <c r="O31"/>
    </row>
    <row r="32" spans="5:15" ht="15" x14ac:dyDescent="0.2">
      <c r="J32"/>
      <c r="K32"/>
      <c r="L32"/>
      <c r="M32"/>
      <c r="N32"/>
      <c r="O32"/>
    </row>
    <row r="33" spans="10:15" ht="15" x14ac:dyDescent="0.2">
      <c r="J33"/>
      <c r="K33"/>
      <c r="L33"/>
      <c r="M33"/>
      <c r="N33"/>
      <c r="O33"/>
    </row>
    <row r="34" spans="10:15" ht="15" x14ac:dyDescent="0.2">
      <c r="J34"/>
      <c r="K34"/>
      <c r="L34"/>
      <c r="M34"/>
      <c r="N34"/>
      <c r="O34"/>
    </row>
    <row r="35" spans="10:15" ht="15" x14ac:dyDescent="0.2">
      <c r="J35"/>
      <c r="K35"/>
      <c r="L35"/>
      <c r="M35"/>
      <c r="N35"/>
      <c r="O35"/>
    </row>
    <row r="36" spans="10:15" ht="15" x14ac:dyDescent="0.2">
      <c r="J36"/>
      <c r="K36"/>
      <c r="L36"/>
      <c r="M36"/>
      <c r="N36"/>
      <c r="O36"/>
    </row>
    <row r="37" spans="10:15" ht="15" x14ac:dyDescent="0.2">
      <c r="J37"/>
      <c r="K37"/>
      <c r="L37"/>
      <c r="M37"/>
      <c r="N37"/>
      <c r="O37"/>
    </row>
    <row r="38" spans="10:15" ht="15" x14ac:dyDescent="0.2">
      <c r="J38"/>
      <c r="K38"/>
      <c r="L38"/>
      <c r="M38"/>
      <c r="N38"/>
      <c r="O38"/>
    </row>
    <row r="39" spans="10:15" ht="15" x14ac:dyDescent="0.2">
      <c r="J39"/>
      <c r="K39"/>
      <c r="L39"/>
      <c r="M39"/>
      <c r="N39"/>
      <c r="O39"/>
    </row>
    <row r="40" spans="10:15" ht="15" x14ac:dyDescent="0.2">
      <c r="J40" s="21"/>
      <c r="K40" s="22"/>
      <c r="L40" s="21"/>
      <c r="M40" s="22"/>
      <c r="N40" s="21"/>
      <c r="O40" s="23"/>
    </row>
    <row r="41" spans="10:15" ht="15" x14ac:dyDescent="0.2">
      <c r="J41"/>
      <c r="K41"/>
      <c r="L41"/>
      <c r="M41"/>
      <c r="N41"/>
      <c r="O41"/>
    </row>
    <row r="42" spans="10:15" x14ac:dyDescent="0.2">
      <c r="J42" s="21"/>
      <c r="K42" s="21"/>
      <c r="L42" s="21"/>
      <c r="M42" s="21"/>
      <c r="N42" s="21"/>
      <c r="O42" s="21"/>
    </row>
    <row r="43" spans="10:15" x14ac:dyDescent="0.2">
      <c r="J43" s="21"/>
      <c r="K43" s="24"/>
      <c r="L43" s="24"/>
      <c r="M43" s="24"/>
      <c r="N43" s="24"/>
      <c r="O43" s="24"/>
    </row>
    <row r="44" spans="10:15" x14ac:dyDescent="0.2">
      <c r="J44" s="21"/>
      <c r="K44" s="24"/>
      <c r="L44" s="24"/>
      <c r="M44" s="24"/>
      <c r="N44" s="24"/>
      <c r="O44" s="24"/>
    </row>
    <row r="45" spans="10:15" x14ac:dyDescent="0.2">
      <c r="J45" s="21"/>
      <c r="K45" s="24"/>
      <c r="L45" s="24"/>
      <c r="M45" s="24"/>
      <c r="N45" s="24"/>
      <c r="O45" s="24"/>
    </row>
    <row r="46" spans="10:15" x14ac:dyDescent="0.2">
      <c r="J46" s="21"/>
      <c r="K46" s="24"/>
      <c r="L46" s="24"/>
      <c r="M46" s="24"/>
      <c r="N46" s="24"/>
      <c r="O46" s="24"/>
    </row>
    <row r="47" spans="10:15" x14ac:dyDescent="0.2">
      <c r="J47" s="21"/>
      <c r="K47" s="24"/>
      <c r="L47" s="24"/>
      <c r="M47" s="24"/>
      <c r="N47" s="24"/>
      <c r="O47" s="24"/>
    </row>
    <row r="48" spans="10:15" x14ac:dyDescent="0.2">
      <c r="J48" s="21"/>
      <c r="K48" s="24"/>
      <c r="L48" s="24"/>
      <c r="M48" s="24"/>
      <c r="N48" s="24"/>
      <c r="O48" s="24"/>
    </row>
    <row r="49" spans="10:15" x14ac:dyDescent="0.2">
      <c r="J49" s="21"/>
      <c r="K49" s="24"/>
      <c r="L49" s="24"/>
      <c r="M49" s="24"/>
      <c r="N49" s="24"/>
      <c r="O49" s="24"/>
    </row>
    <row r="50" spans="10:15" x14ac:dyDescent="0.2">
      <c r="J50" s="21"/>
      <c r="K50" s="24"/>
      <c r="L50" s="24"/>
      <c r="M50" s="24"/>
      <c r="N50" s="24"/>
      <c r="O50" s="24"/>
    </row>
    <row r="51" spans="10:15" x14ac:dyDescent="0.2">
      <c r="J51" s="21"/>
      <c r="K51" s="24"/>
      <c r="L51" s="24"/>
      <c r="M51" s="24"/>
      <c r="N51" s="24"/>
      <c r="O51" s="24"/>
    </row>
    <row r="52" spans="10:15" x14ac:dyDescent="0.2">
      <c r="J52" s="21"/>
      <c r="K52" s="24"/>
      <c r="L52" s="24"/>
      <c r="M52" s="24"/>
      <c r="N52" s="24"/>
      <c r="O52" s="24"/>
    </row>
    <row r="53" spans="10:15" x14ac:dyDescent="0.2">
      <c r="J53" s="21"/>
      <c r="K53" s="24"/>
      <c r="L53" s="24"/>
      <c r="M53" s="24"/>
      <c r="N53" s="24"/>
      <c r="O53" s="24"/>
    </row>
    <row r="54" spans="10:15" x14ac:dyDescent="0.2">
      <c r="J54" s="21"/>
      <c r="K54" s="24"/>
      <c r="L54" s="24"/>
      <c r="M54" s="24"/>
      <c r="N54" s="24"/>
      <c r="O54" s="24"/>
    </row>
    <row r="55" spans="10:15" x14ac:dyDescent="0.2">
      <c r="J55" s="21"/>
      <c r="K55" s="24"/>
      <c r="L55" s="24"/>
      <c r="M55" s="24"/>
      <c r="N55" s="24"/>
      <c r="O55" s="24"/>
    </row>
    <row r="56" spans="10:15" x14ac:dyDescent="0.2">
      <c r="J56" s="21"/>
      <c r="K56" s="24"/>
      <c r="L56" s="24"/>
      <c r="M56" s="24"/>
      <c r="N56" s="24"/>
      <c r="O56" s="24"/>
    </row>
    <row r="57" spans="10:15" x14ac:dyDescent="0.2">
      <c r="J57" s="21"/>
      <c r="K57" s="24"/>
      <c r="L57" s="24"/>
      <c r="M57" s="24"/>
      <c r="N57" s="24"/>
      <c r="O57" s="24"/>
    </row>
    <row r="58" spans="10:15" x14ac:dyDescent="0.2">
      <c r="J58" s="21"/>
      <c r="K58" s="24"/>
      <c r="L58" s="24"/>
      <c r="M58" s="24"/>
      <c r="N58" s="24"/>
      <c r="O58" s="24"/>
    </row>
    <row r="59" spans="10:15" x14ac:dyDescent="0.2">
      <c r="J59" s="21"/>
      <c r="K59" s="24"/>
      <c r="L59" s="24"/>
      <c r="M59" s="24"/>
      <c r="N59" s="24"/>
      <c r="O59" s="24"/>
    </row>
    <row r="60" spans="10:15" x14ac:dyDescent="0.2">
      <c r="J60" s="21"/>
      <c r="K60" s="24"/>
      <c r="L60" s="24"/>
      <c r="M60" s="24"/>
      <c r="N60" s="24"/>
      <c r="O60" s="24"/>
    </row>
    <row r="61" spans="10:15" x14ac:dyDescent="0.2">
      <c r="J61" s="21"/>
      <c r="K61" s="24"/>
      <c r="L61" s="24"/>
      <c r="M61" s="24"/>
      <c r="N61" s="24"/>
      <c r="O61" s="24"/>
    </row>
    <row r="62" spans="10:15" x14ac:dyDescent="0.2">
      <c r="J62" s="21"/>
      <c r="K62" s="24"/>
      <c r="L62" s="24"/>
      <c r="M62" s="24"/>
      <c r="N62" s="24"/>
      <c r="O62" s="24"/>
    </row>
    <row r="63" spans="10:15" x14ac:dyDescent="0.2">
      <c r="J63" s="21"/>
      <c r="K63" s="24"/>
      <c r="L63" s="24"/>
      <c r="M63" s="24"/>
      <c r="N63" s="24"/>
      <c r="O63" s="24"/>
    </row>
    <row r="64" spans="10:15" x14ac:dyDescent="0.2">
      <c r="J64" s="21"/>
      <c r="K64" s="24"/>
      <c r="L64" s="24"/>
      <c r="M64" s="24"/>
      <c r="N64" s="24"/>
      <c r="O64" s="24"/>
    </row>
    <row r="65" spans="10:15" x14ac:dyDescent="0.2">
      <c r="J65" s="21"/>
      <c r="K65" s="24"/>
      <c r="L65" s="24"/>
      <c r="M65" s="24"/>
      <c r="N65" s="24"/>
      <c r="O65" s="24"/>
    </row>
    <row r="66" spans="10:15" x14ac:dyDescent="0.2">
      <c r="J66" s="21"/>
      <c r="K66" s="24"/>
      <c r="L66" s="24"/>
      <c r="M66" s="24"/>
      <c r="N66" s="24"/>
      <c r="O66" s="24"/>
    </row>
    <row r="67" spans="10:15" x14ac:dyDescent="0.2">
      <c r="J67" s="21"/>
      <c r="K67" s="24"/>
      <c r="L67" s="24"/>
      <c r="M67" s="24"/>
      <c r="N67" s="24"/>
      <c r="O67" s="24"/>
    </row>
    <row r="68" spans="10:15" x14ac:dyDescent="0.2">
      <c r="J68" s="21"/>
      <c r="K68" s="24"/>
      <c r="L68" s="24"/>
      <c r="M68" s="24"/>
      <c r="N68" s="24"/>
      <c r="O68" s="24"/>
    </row>
    <row r="69" spans="10:15" x14ac:dyDescent="0.2">
      <c r="J69" s="21"/>
      <c r="K69" s="24"/>
      <c r="L69" s="24"/>
      <c r="M69" s="24"/>
      <c r="N69" s="24"/>
      <c r="O69" s="24"/>
    </row>
    <row r="70" spans="10:15" x14ac:dyDescent="0.2">
      <c r="J70" s="21"/>
      <c r="K70" s="24"/>
      <c r="L70" s="24"/>
      <c r="M70" s="24"/>
      <c r="N70" s="24"/>
      <c r="O70" s="24"/>
    </row>
    <row r="71" spans="10:15" x14ac:dyDescent="0.2">
      <c r="J71" s="21"/>
      <c r="K71" s="24"/>
      <c r="L71" s="24"/>
      <c r="M71" s="24"/>
      <c r="N71" s="24"/>
      <c r="O71" s="24"/>
    </row>
    <row r="72" spans="10:15" x14ac:dyDescent="0.2">
      <c r="J72" s="21"/>
      <c r="K72" s="24"/>
      <c r="L72" s="24"/>
      <c r="M72" s="24"/>
      <c r="N72" s="24"/>
      <c r="O72" s="24"/>
    </row>
    <row r="73" spans="10:15" x14ac:dyDescent="0.2">
      <c r="J73" s="21"/>
      <c r="K73" s="24"/>
      <c r="L73" s="24"/>
      <c r="M73" s="24"/>
      <c r="N73" s="24"/>
      <c r="O73" s="24"/>
    </row>
  </sheetData>
  <mergeCells count="3">
    <mergeCell ref="A1:G1"/>
    <mergeCell ref="A9:B9"/>
    <mergeCell ref="A4:I4"/>
  </mergeCells>
  <phoneticPr fontId="1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J8"/>
  <sheetViews>
    <sheetView zoomScale="130" zoomScaleNormal="130" workbookViewId="0">
      <selection activeCell="E29" sqref="E29"/>
    </sheetView>
  </sheetViews>
  <sheetFormatPr baseColWidth="10" defaultColWidth="11.5" defaultRowHeight="13" x14ac:dyDescent="0.15"/>
  <cols>
    <col min="1" max="1" width="39.5" style="5" bestFit="1" customWidth="1"/>
    <col min="2" max="2" width="13" style="5" bestFit="1" customWidth="1"/>
    <col min="3" max="3" width="13" style="5" customWidth="1"/>
    <col min="4" max="4" width="13.5" style="5" customWidth="1"/>
    <col min="5" max="5" width="12.5" style="5" bestFit="1" customWidth="1"/>
    <col min="6" max="6" width="21" style="5" customWidth="1"/>
    <col min="7" max="9" width="12.5" style="5" bestFit="1" customWidth="1"/>
    <col min="10" max="10" width="15" style="14" customWidth="1"/>
    <col min="11" max="11" width="22.33203125" style="5" customWidth="1"/>
    <col min="12" max="12" width="19.33203125" style="5" customWidth="1"/>
    <col min="13" max="13" width="70" style="5" customWidth="1"/>
    <col min="14" max="14" width="68" style="5" customWidth="1"/>
    <col min="15" max="15" width="34.6640625" style="5" customWidth="1"/>
    <col min="16" max="16384" width="11.5" style="5"/>
  </cols>
  <sheetData>
    <row r="3" spans="1:10" ht="28" x14ac:dyDescent="0.15">
      <c r="A3" s="82" t="s">
        <v>12</v>
      </c>
      <c r="B3" s="83" t="s">
        <v>13</v>
      </c>
      <c r="C3" s="82" t="s">
        <v>79</v>
      </c>
      <c r="D3" s="82" t="s">
        <v>77</v>
      </c>
      <c r="E3" s="82" t="s">
        <v>78</v>
      </c>
      <c r="F3" s="82" t="s">
        <v>55</v>
      </c>
      <c r="G3" s="82" t="s">
        <v>56</v>
      </c>
      <c r="H3" s="82" t="s">
        <v>57</v>
      </c>
      <c r="I3" s="82" t="s">
        <v>58</v>
      </c>
      <c r="J3" s="82" t="s">
        <v>59</v>
      </c>
    </row>
    <row r="4" spans="1:10" x14ac:dyDescent="0.15">
      <c r="A4" s="84" t="s">
        <v>19</v>
      </c>
      <c r="B4" s="85">
        <v>2</v>
      </c>
      <c r="C4" s="85">
        <v>3</v>
      </c>
      <c r="D4" s="86">
        <f>E4/949</f>
        <v>1570.0737618545838</v>
      </c>
      <c r="E4" s="87">
        <v>1490000</v>
      </c>
      <c r="F4" s="64">
        <f>(E4*B4)/C4</f>
        <v>993333.33333333337</v>
      </c>
      <c r="G4" s="64">
        <f>(E4*B4)/C4</f>
        <v>993333.33333333337</v>
      </c>
      <c r="H4" s="60">
        <f>(E4*B4)/C4</f>
        <v>993333.33333333337</v>
      </c>
      <c r="I4" s="60">
        <v>0</v>
      </c>
      <c r="J4" s="88">
        <v>0</v>
      </c>
    </row>
    <row r="5" spans="1:10" x14ac:dyDescent="0.15">
      <c r="A5" s="84" t="s">
        <v>85</v>
      </c>
      <c r="B5" s="85">
        <v>2</v>
      </c>
      <c r="C5" s="85">
        <v>3</v>
      </c>
      <c r="D5" s="86">
        <f>E5/949</f>
        <v>279.23076923076923</v>
      </c>
      <c r="E5" s="87">
        <v>264990</v>
      </c>
      <c r="F5" s="64">
        <f>(E5*B5)/C5</f>
        <v>176660</v>
      </c>
      <c r="G5" s="64">
        <f>(E5*B5)/C5</f>
        <v>176660</v>
      </c>
      <c r="H5" s="60">
        <f>(E5*B5)/C5</f>
        <v>176660</v>
      </c>
      <c r="I5" s="60"/>
      <c r="J5" s="88"/>
    </row>
    <row r="6" spans="1:10" x14ac:dyDescent="0.15">
      <c r="A6" s="84" t="s">
        <v>84</v>
      </c>
      <c r="B6" s="85">
        <v>2</v>
      </c>
      <c r="C6" s="85">
        <v>2</v>
      </c>
      <c r="D6" s="86">
        <f>E6/949</f>
        <v>347.52370916754478</v>
      </c>
      <c r="E6" s="87">
        <v>329800</v>
      </c>
      <c r="F6" s="64">
        <f>(E6*B6)/C6</f>
        <v>329800</v>
      </c>
      <c r="G6" s="64">
        <f>(E6*B6)/C6</f>
        <v>329800</v>
      </c>
      <c r="H6" s="60"/>
      <c r="I6" s="60"/>
      <c r="J6" s="88"/>
    </row>
    <row r="7" spans="1:10" x14ac:dyDescent="0.15">
      <c r="A7" s="84" t="s">
        <v>75</v>
      </c>
      <c r="B7" s="85">
        <v>2</v>
      </c>
      <c r="C7" s="85">
        <v>2</v>
      </c>
      <c r="D7" s="86">
        <f>E7/949</f>
        <v>355.11064278187564</v>
      </c>
      <c r="E7" s="87">
        <v>337000</v>
      </c>
      <c r="F7" s="64">
        <f>(E7*B7)/C7</f>
        <v>337000</v>
      </c>
      <c r="G7" s="64">
        <f>(E7*B7)/C7</f>
        <v>337000</v>
      </c>
      <c r="H7" s="60">
        <v>0</v>
      </c>
      <c r="I7" s="60">
        <v>0</v>
      </c>
      <c r="J7" s="88">
        <v>0</v>
      </c>
    </row>
    <row r="8" spans="1:10" x14ac:dyDescent="0.15">
      <c r="E8" s="91" t="s">
        <v>80</v>
      </c>
      <c r="F8" s="64">
        <f>SUM(F4:F7)</f>
        <v>1836793.3333333335</v>
      </c>
      <c r="G8" s="64">
        <f>SUM(G4:G7)</f>
        <v>1836793.3333333335</v>
      </c>
      <c r="H8" s="64">
        <f>SUM(H4:H7)</f>
        <v>1169993.3333333335</v>
      </c>
      <c r="I8" s="64">
        <f>SUM(I4:I7)</f>
        <v>0</v>
      </c>
      <c r="J8" s="89">
        <f>SUM(J4:J7)</f>
        <v>0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/>
  </sheetViews>
  <sheetFormatPr baseColWidth="10" defaultColWidth="11.5" defaultRowHeight="15" x14ac:dyDescent="0.2"/>
  <cols>
    <col min="1" max="1" width="30.6640625" customWidth="1"/>
    <col min="2" max="2" width="29" customWidth="1"/>
    <col min="3" max="3" width="41.83203125" bestFit="1" customWidth="1"/>
    <col min="4" max="8" width="19.5" bestFit="1" customWidth="1"/>
    <col min="9" max="9" width="18.33203125" bestFit="1" customWidth="1"/>
    <col min="10" max="12" width="19.5" bestFit="1" customWidth="1"/>
    <col min="13" max="23" width="20.5" bestFit="1" customWidth="1"/>
  </cols>
  <sheetData>
    <row r="1" spans="1:23" x14ac:dyDescent="0.2">
      <c r="A1" s="9" t="s">
        <v>31</v>
      </c>
      <c r="B1" s="9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  <c r="R1" s="4" t="s">
        <v>48</v>
      </c>
      <c r="S1" s="4" t="s">
        <v>49</v>
      </c>
      <c r="T1" s="4" t="s">
        <v>50</v>
      </c>
      <c r="U1" s="4" t="s">
        <v>51</v>
      </c>
      <c r="V1" s="4" t="s">
        <v>52</v>
      </c>
      <c r="W1" s="4" t="s">
        <v>53</v>
      </c>
    </row>
    <row r="2" spans="1:23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2543-6749-4144-8BBF-2643CA4FA69E}">
  <dimension ref="C3:L38"/>
  <sheetViews>
    <sheetView tabSelected="1" topLeftCell="A7" zoomScale="125" zoomScaleNormal="125" workbookViewId="0">
      <selection activeCell="G27" sqref="G27"/>
    </sheetView>
  </sheetViews>
  <sheetFormatPr baseColWidth="10" defaultColWidth="11.5" defaultRowHeight="15" x14ac:dyDescent="0.2"/>
  <cols>
    <col min="4" max="4" width="35.83203125" bestFit="1" customWidth="1"/>
    <col min="5" max="5" width="24.33203125" bestFit="1" customWidth="1"/>
    <col min="6" max="6" width="16.83203125" bestFit="1" customWidth="1"/>
    <col min="7" max="7" width="15.5" bestFit="1" customWidth="1"/>
    <col min="8" max="8" width="13.6640625" bestFit="1" customWidth="1"/>
    <col min="9" max="9" width="14.83203125" customWidth="1"/>
    <col min="10" max="12" width="13.1640625" bestFit="1" customWidth="1"/>
  </cols>
  <sheetData>
    <row r="3" spans="3:12" x14ac:dyDescent="0.2">
      <c r="E3" s="30"/>
    </row>
    <row r="5" spans="3:12" x14ac:dyDescent="0.2">
      <c r="D5" s="15"/>
    </row>
    <row r="7" spans="3:12" x14ac:dyDescent="0.2">
      <c r="E7" s="16" t="s">
        <v>54</v>
      </c>
      <c r="F7" s="16" t="s">
        <v>55</v>
      </c>
      <c r="G7" s="16" t="s">
        <v>56</v>
      </c>
      <c r="H7" s="16" t="s">
        <v>57</v>
      </c>
      <c r="I7" s="16" t="s">
        <v>58</v>
      </c>
      <c r="J7" s="16" t="s">
        <v>59</v>
      </c>
    </row>
    <row r="9" spans="3:12" x14ac:dyDescent="0.2">
      <c r="D9" s="92" t="s">
        <v>60</v>
      </c>
      <c r="E9" s="92">
        <v>0</v>
      </c>
      <c r="F9" s="93">
        <f>Ingresos!C16</f>
        <v>10225635.84</v>
      </c>
      <c r="G9" s="93">
        <f>Ingresos!D16</f>
        <v>23189959.799999993</v>
      </c>
      <c r="H9" s="93">
        <f>Ingresos!E16</f>
        <v>39193770</v>
      </c>
      <c r="I9" s="93">
        <f>Ingresos!F16</f>
        <v>55853935.200000003</v>
      </c>
      <c r="J9" s="110">
        <f>Ingresos!G16</f>
        <v>83488356</v>
      </c>
      <c r="K9" s="112">
        <f>SUM(F9:J9)</f>
        <v>211951656.83999997</v>
      </c>
    </row>
    <row r="10" spans="3:12" ht="16" thickBot="1" x14ac:dyDescent="0.25">
      <c r="L10" s="17"/>
    </row>
    <row r="11" spans="3:12" x14ac:dyDescent="0.2">
      <c r="D11" s="95" t="s">
        <v>61</v>
      </c>
      <c r="E11" s="96"/>
      <c r="F11" s="97">
        <f>Costos!E9</f>
        <v>15720000</v>
      </c>
      <c r="G11" s="97">
        <f>Costos!F9</f>
        <v>16977600</v>
      </c>
      <c r="H11" s="97">
        <f>Costos!G9</f>
        <v>18335808</v>
      </c>
      <c r="I11" s="97">
        <f>Costos!H9</f>
        <v>19802672.640000001</v>
      </c>
      <c r="J11" s="109">
        <f>Costos!I9</f>
        <v>21386886.451200001</v>
      </c>
      <c r="K11" s="111">
        <f>SUM(F11:J11)</f>
        <v>92222967.091199994</v>
      </c>
    </row>
    <row r="12" spans="3:12" x14ac:dyDescent="0.2">
      <c r="D12" s="26" t="s">
        <v>62</v>
      </c>
      <c r="E12" s="31"/>
      <c r="F12" s="33">
        <f>F9-F11</f>
        <v>-5494364.1600000001</v>
      </c>
      <c r="G12" s="33">
        <f>G9-G11</f>
        <v>6212359.7999999933</v>
      </c>
      <c r="H12" s="33">
        <f>H9-H11</f>
        <v>20857962</v>
      </c>
      <c r="I12" s="33">
        <f>I9-I11</f>
        <v>36051262.560000002</v>
      </c>
      <c r="J12" s="27">
        <f>J9-J11</f>
        <v>62101469.548799999</v>
      </c>
    </row>
    <row r="13" spans="3:12" x14ac:dyDescent="0.2">
      <c r="D13" s="26" t="s">
        <v>63</v>
      </c>
      <c r="E13" s="31"/>
      <c r="F13" s="33">
        <f>'Depreciacion y Amortizacion'!F8</f>
        <v>1836793.3333333335</v>
      </c>
      <c r="G13" s="33">
        <f>'Depreciacion y Amortizacion'!G8</f>
        <v>1836793.3333333335</v>
      </c>
      <c r="H13" s="33">
        <f>'Depreciacion y Amortizacion'!H8</f>
        <v>1169993.3333333335</v>
      </c>
      <c r="I13" s="33">
        <f>'Depreciacion y Amortizacion'!I8</f>
        <v>0</v>
      </c>
      <c r="J13" s="27">
        <f>'Depreciacion y Amortizacion'!J8</f>
        <v>0</v>
      </c>
    </row>
    <row r="14" spans="3:12" x14ac:dyDescent="0.2">
      <c r="D14" s="26" t="s">
        <v>64</v>
      </c>
      <c r="E14" s="31"/>
      <c r="F14" s="33">
        <f>F12-F13</f>
        <v>-7331157.4933333341</v>
      </c>
      <c r="G14" s="33">
        <f>G12-G13</f>
        <v>4375566.4666666593</v>
      </c>
      <c r="H14" s="33">
        <f>H12-H13</f>
        <v>19687968.666666668</v>
      </c>
      <c r="I14" s="33">
        <f>I12-I13</f>
        <v>36051262.560000002</v>
      </c>
      <c r="J14" s="27">
        <f>J12-J13</f>
        <v>62101469.548799999</v>
      </c>
    </row>
    <row r="15" spans="3:12" x14ac:dyDescent="0.2">
      <c r="C15" s="30"/>
      <c r="D15" s="26" t="s">
        <v>65</v>
      </c>
      <c r="E15" s="31"/>
      <c r="F15" s="33">
        <v>0</v>
      </c>
      <c r="G15" s="33">
        <f>G14*19%</f>
        <v>831357.62866666529</v>
      </c>
      <c r="H15" s="33">
        <f>H14*19%</f>
        <v>3740714.0466666669</v>
      </c>
      <c r="I15" s="33">
        <f>I14*19%</f>
        <v>6849739.8864000002</v>
      </c>
      <c r="J15" s="33">
        <f>J14*19%</f>
        <v>11799279.214272</v>
      </c>
      <c r="L15" s="17"/>
    </row>
    <row r="16" spans="3:12" x14ac:dyDescent="0.2">
      <c r="D16" s="26" t="s">
        <v>66</v>
      </c>
      <c r="E16" s="31"/>
      <c r="F16" s="33">
        <f>F14+F15</f>
        <v>-7331157.4933333341</v>
      </c>
      <c r="G16" s="33">
        <f>G14+G15</f>
        <v>5206924.0953333247</v>
      </c>
      <c r="H16" s="33">
        <f>H14+H15</f>
        <v>23428682.713333335</v>
      </c>
      <c r="I16" s="33">
        <f>I14+I15</f>
        <v>42901002.446400002</v>
      </c>
      <c r="J16" s="27">
        <f>J14+J15</f>
        <v>73900748.763071999</v>
      </c>
    </row>
    <row r="17" spans="4:12" x14ac:dyDescent="0.2">
      <c r="D17" s="26" t="s">
        <v>67</v>
      </c>
      <c r="E17" s="31"/>
      <c r="F17" s="33">
        <f>F13</f>
        <v>1836793.3333333335</v>
      </c>
      <c r="G17" s="33">
        <f>G13</f>
        <v>1836793.3333333335</v>
      </c>
      <c r="H17" s="33">
        <f>H13</f>
        <v>1169993.3333333335</v>
      </c>
      <c r="I17" s="33">
        <f>I13</f>
        <v>0</v>
      </c>
      <c r="J17" s="27">
        <f>J13</f>
        <v>0</v>
      </c>
    </row>
    <row r="18" spans="4:12" x14ac:dyDescent="0.2">
      <c r="D18" s="26" t="s">
        <v>68</v>
      </c>
      <c r="E18" s="31"/>
      <c r="F18" s="33">
        <f>F16+F17</f>
        <v>-5494364.1600000001</v>
      </c>
      <c r="G18" s="33">
        <f>G16+G17</f>
        <v>7043717.4286666587</v>
      </c>
      <c r="H18" s="33">
        <f>H16+H17</f>
        <v>24598676.046666667</v>
      </c>
      <c r="I18" s="33">
        <f>I16+I17</f>
        <v>42901002.446400002</v>
      </c>
      <c r="J18" s="27">
        <f>J16+J17</f>
        <v>73900748.763071999</v>
      </c>
      <c r="L18" s="17"/>
    </row>
    <row r="19" spans="4:12" x14ac:dyDescent="0.2">
      <c r="D19" s="98" t="s">
        <v>69</v>
      </c>
      <c r="E19" s="94">
        <f>Inversiones!G9</f>
        <v>14843580</v>
      </c>
      <c r="F19" s="33">
        <v>0</v>
      </c>
      <c r="G19" s="33"/>
      <c r="H19" s="33"/>
      <c r="I19" s="33"/>
      <c r="J19" s="27"/>
    </row>
    <row r="20" spans="4:12" x14ac:dyDescent="0.2">
      <c r="D20" s="26" t="s">
        <v>70</v>
      </c>
      <c r="E20" s="33"/>
      <c r="F20" s="33">
        <v>0</v>
      </c>
      <c r="G20" s="33">
        <v>0</v>
      </c>
      <c r="H20" s="33">
        <v>0</v>
      </c>
      <c r="I20" s="33">
        <v>0</v>
      </c>
      <c r="J20" s="27">
        <v>0</v>
      </c>
    </row>
    <row r="21" spans="4:12" x14ac:dyDescent="0.2">
      <c r="D21" s="26" t="s">
        <v>71</v>
      </c>
      <c r="E21" s="33"/>
      <c r="F21" s="33">
        <v>0</v>
      </c>
      <c r="G21" s="33"/>
      <c r="H21" s="33"/>
      <c r="I21" s="33"/>
      <c r="J21" s="27"/>
    </row>
    <row r="22" spans="4:12" ht="16" thickBot="1" x14ac:dyDescent="0.25">
      <c r="D22" s="99" t="s">
        <v>72</v>
      </c>
      <c r="E22" s="107">
        <f>-E19</f>
        <v>-14843580</v>
      </c>
      <c r="F22" s="113">
        <f>F18+F21</f>
        <v>-5494364.1600000001</v>
      </c>
      <c r="G22" s="113">
        <f>G18+G21</f>
        <v>7043717.4286666587</v>
      </c>
      <c r="H22" s="113">
        <f>H18+H21</f>
        <v>24598676.046666667</v>
      </c>
      <c r="I22" s="113">
        <f>I18+I21</f>
        <v>42901002.446400002</v>
      </c>
      <c r="J22" s="114">
        <f>J18+J21</f>
        <v>73900748.763071999</v>
      </c>
      <c r="K22" s="112">
        <f>SUM(F22:J22)</f>
        <v>142949780.52480531</v>
      </c>
      <c r="L22" s="17"/>
    </row>
    <row r="23" spans="4:12" ht="16" thickBot="1" x14ac:dyDescent="0.25"/>
    <row r="24" spans="4:12" ht="16" thickBot="1" x14ac:dyDescent="0.25">
      <c r="D24" s="100" t="s">
        <v>73</v>
      </c>
      <c r="E24" s="101">
        <v>0.12</v>
      </c>
    </row>
    <row r="25" spans="4:12" ht="16" thickBot="1" x14ac:dyDescent="0.25">
      <c r="I25" s="129"/>
      <c r="J25" s="129"/>
      <c r="K25" s="129"/>
    </row>
    <row r="26" spans="4:12" ht="19" x14ac:dyDescent="0.25">
      <c r="D26" s="102" t="s">
        <v>74</v>
      </c>
      <c r="E26" s="103">
        <f>NPV(E24,F22:J22)+E22</f>
        <v>72572429.998253599</v>
      </c>
      <c r="F26" s="28"/>
      <c r="G26" s="131"/>
      <c r="H26" s="28"/>
      <c r="K26" s="130"/>
    </row>
    <row r="27" spans="4:12" ht="19" x14ac:dyDescent="0.25">
      <c r="D27" s="104" t="s">
        <v>81</v>
      </c>
      <c r="E27" s="105">
        <f>IRR(E22:J22)</f>
        <v>0.69229265800125939</v>
      </c>
      <c r="F27" s="116"/>
      <c r="H27" s="116"/>
      <c r="I27" s="116"/>
      <c r="J27" s="116"/>
    </row>
    <row r="28" spans="4:12" ht="20" thickBot="1" x14ac:dyDescent="0.3">
      <c r="D28" s="106" t="s">
        <v>82</v>
      </c>
      <c r="E28" s="108">
        <f>(($E$19-F9)/$E$19)*100</f>
        <v>31.110716956421562</v>
      </c>
      <c r="G28" s="131"/>
    </row>
    <row r="31" spans="4:12" x14ac:dyDescent="0.2">
      <c r="E31" s="29"/>
    </row>
    <row r="32" spans="4:12" x14ac:dyDescent="0.2">
      <c r="E32" s="29"/>
    </row>
    <row r="33" spans="5:5" x14ac:dyDescent="0.2">
      <c r="E33" s="29"/>
    </row>
    <row r="34" spans="5:5" x14ac:dyDescent="0.2">
      <c r="E34" s="32"/>
    </row>
    <row r="36" spans="5:5" x14ac:dyDescent="0.2">
      <c r="E36" s="32"/>
    </row>
    <row r="38" spans="5:5" x14ac:dyDescent="0.2">
      <c r="E38" s="29"/>
    </row>
  </sheetData>
  <phoneticPr fontId="19" type="noConversion"/>
  <pageMargins left="0.7" right="0.7" top="0.75" bottom="0.75" header="0.3" footer="0.3"/>
  <pageSetup paperSize="9" orientation="portrait" r:id="rId1"/>
  <ignoredErrors>
    <ignoredError sqref="F17: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Ingresos</vt:lpstr>
      <vt:lpstr>Inversiones</vt:lpstr>
      <vt:lpstr>Costos</vt:lpstr>
      <vt:lpstr>Depreciacion y Amortizacion</vt:lpstr>
      <vt:lpstr>Hoja1</vt:lpstr>
      <vt:lpstr>Flujo de Caja 2.0</vt:lpstr>
      <vt:lpstr>Costos!uf2023_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Antonio Cortés Yáñez</dc:creator>
  <cp:keywords/>
  <dc:description/>
  <cp:lastModifiedBy>JAIME . MALHUE OLMOS</cp:lastModifiedBy>
  <cp:revision/>
  <dcterms:created xsi:type="dcterms:W3CDTF">2019-05-24T15:02:09Z</dcterms:created>
  <dcterms:modified xsi:type="dcterms:W3CDTF">2024-11-12T04:40:54Z</dcterms:modified>
  <cp:category/>
  <cp:contentStatus/>
</cp:coreProperties>
</file>