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onidromashkin\Desktop\Звезда\ДП\Ромашкин\РПЗ\Экономика\"/>
    </mc:Choice>
  </mc:AlternateContent>
  <xr:revisionPtr revIDLastSave="0" documentId="13_ncr:1_{408950F3-4DD7-44DB-B286-85A543F82EFA}" xr6:coauthVersionLast="40" xr6:coauthVersionMax="40" xr10:uidLastSave="{00000000-0000-0000-0000-000000000000}"/>
  <bookViews>
    <workbookView xWindow="0" yWindow="0" windowWidth="12960" windowHeight="8685" xr2:uid="{86D7540E-8B9E-432C-BB8E-895BB42A6563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9" i="1" l="1"/>
  <c r="D116" i="1"/>
  <c r="D115" i="1" s="1"/>
  <c r="M121" i="1" l="1"/>
  <c r="M120" i="1"/>
  <c r="M119" i="1"/>
  <c r="M118" i="1"/>
  <c r="M117" i="1"/>
  <c r="M116" i="1"/>
  <c r="M115" i="1"/>
  <c r="M122" i="1" s="1"/>
  <c r="O122" i="1" s="1"/>
  <c r="P122" i="1" s="1"/>
  <c r="I67" i="1"/>
  <c r="D48" i="1"/>
  <c r="G18" i="1"/>
  <c r="C14" i="1"/>
  <c r="H5" i="1"/>
  <c r="E197" i="1" l="1"/>
  <c r="D120" i="1"/>
  <c r="E122" i="1"/>
  <c r="D127" i="1" s="1"/>
  <c r="E121" i="1"/>
  <c r="D213" i="1" s="1"/>
  <c r="E213" i="1" s="1"/>
  <c r="E221" i="1"/>
  <c r="E219" i="1"/>
  <c r="E216" i="1"/>
  <c r="E204" i="1"/>
  <c r="E202" i="1"/>
  <c r="E200" i="1"/>
  <c r="D201" i="1"/>
  <c r="D212" i="1"/>
  <c r="D205" i="1"/>
  <c r="E205" i="1"/>
  <c r="D188" i="1"/>
  <c r="E188" i="1" s="1"/>
  <c r="D154" i="1"/>
  <c r="E154" i="1" s="1"/>
  <c r="D218" i="1"/>
  <c r="E218" i="1" s="1"/>
  <c r="E209" i="1"/>
  <c r="D209" i="1"/>
  <c r="D214" i="1"/>
  <c r="E214" i="1" s="1"/>
  <c r="D207" i="1"/>
  <c r="E207" i="1" s="1"/>
  <c r="D187" i="1"/>
  <c r="E187" i="1" s="1"/>
  <c r="E222" i="1"/>
  <c r="D222" i="1"/>
  <c r="E198" i="1"/>
  <c r="D198" i="1"/>
  <c r="D221" i="1"/>
  <c r="D219" i="1"/>
  <c r="D216" i="1"/>
  <c r="D204" i="1"/>
  <c r="D202" i="1"/>
  <c r="D200" i="1"/>
  <c r="D197" i="1"/>
  <c r="D195" i="1"/>
  <c r="D192" i="1"/>
  <c r="D184" i="1"/>
  <c r="D182" i="1"/>
  <c r="E182" i="1" s="1"/>
  <c r="D181" i="1"/>
  <c r="D180" i="1"/>
  <c r="E180" i="1" s="1"/>
  <c r="D178" i="1"/>
  <c r="E178" i="1" s="1"/>
  <c r="D177" i="1"/>
  <c r="E177" i="1" s="1"/>
  <c r="D174" i="1"/>
  <c r="D173" i="1"/>
  <c r="E173" i="1" s="1"/>
  <c r="D170" i="1"/>
  <c r="D167" i="1"/>
  <c r="E167" i="1" s="1"/>
  <c r="D164" i="1"/>
  <c r="D160" i="1"/>
  <c r="D155" i="1"/>
  <c r="D152" i="1"/>
  <c r="D149" i="1"/>
  <c r="D146" i="1"/>
  <c r="D143" i="1"/>
  <c r="D140" i="1"/>
  <c r="D137" i="1"/>
  <c r="D117" i="1"/>
  <c r="E195" i="1"/>
  <c r="E194" i="1"/>
  <c r="D194" i="1"/>
  <c r="E192" i="1"/>
  <c r="D191" i="1"/>
  <c r="E191" i="1" s="1"/>
  <c r="D186" i="1"/>
  <c r="E184" i="1"/>
  <c r="E181" i="1"/>
  <c r="E174" i="1"/>
  <c r="E170" i="1"/>
  <c r="D169" i="1"/>
  <c r="E166" i="1"/>
  <c r="D166" i="1"/>
  <c r="E164" i="1"/>
  <c r="D163" i="1"/>
  <c r="D162" i="1"/>
  <c r="D172" i="1" l="1"/>
  <c r="E172" i="1" s="1"/>
  <c r="D206" i="1"/>
  <c r="E206" i="1" s="1"/>
  <c r="E212" i="1"/>
  <c r="E186" i="1"/>
  <c r="E160" i="1"/>
  <c r="E159" i="1"/>
  <c r="D158" i="1"/>
  <c r="D157" i="1"/>
  <c r="D159" i="1"/>
  <c r="E155" i="1"/>
  <c r="D153" i="1"/>
  <c r="E152" i="1"/>
  <c r="D151" i="1"/>
  <c r="E151" i="1" s="1"/>
  <c r="E149" i="1"/>
  <c r="E148" i="1"/>
  <c r="D148" i="1"/>
  <c r="E146" i="1"/>
  <c r="E143" i="1"/>
  <c r="E145" i="1"/>
  <c r="D145" i="1"/>
  <c r="E142" i="1"/>
  <c r="D142" i="1"/>
  <c r="E140" i="1"/>
  <c r="D139" i="1"/>
  <c r="D138" i="1" s="1"/>
  <c r="E137" i="1"/>
  <c r="D136" i="1"/>
  <c r="D132" i="1"/>
  <c r="E132" i="1" s="1"/>
  <c r="D133" i="1"/>
  <c r="E133" i="1" s="1"/>
  <c r="D129" i="1"/>
  <c r="D126" i="1"/>
  <c r="D128" i="1"/>
  <c r="D125" i="1"/>
  <c r="D123" i="1"/>
  <c r="E123" i="1" s="1"/>
  <c r="D121" i="1"/>
  <c r="D122" i="1"/>
  <c r="E120" i="1"/>
  <c r="D118" i="1"/>
  <c r="E118" i="1"/>
  <c r="E117" i="1"/>
  <c r="D220" i="1"/>
  <c r="D217" i="1"/>
  <c r="D196" i="1"/>
  <c r="D193" i="1"/>
  <c r="D190" i="1"/>
  <c r="C179" i="1"/>
  <c r="D179" i="1"/>
  <c r="D176" i="1"/>
  <c r="D171" i="1"/>
  <c r="D168" i="1"/>
  <c r="D165" i="1"/>
  <c r="D161" i="1"/>
  <c r="D156" i="1"/>
  <c r="D147" i="1"/>
  <c r="D144" i="1"/>
  <c r="D141" i="1"/>
  <c r="C124" i="1"/>
  <c r="C135" i="1"/>
  <c r="C119" i="1"/>
  <c r="C130" i="1"/>
  <c r="C138" i="1"/>
  <c r="C141" i="1"/>
  <c r="C144" i="1"/>
  <c r="C147" i="1"/>
  <c r="C150" i="1"/>
  <c r="C153" i="1"/>
  <c r="C156" i="1"/>
  <c r="C161" i="1"/>
  <c r="C165" i="1"/>
  <c r="C168" i="1"/>
  <c r="C171" i="1"/>
  <c r="C176" i="1"/>
  <c r="C175" i="1" s="1"/>
  <c r="C185" i="1"/>
  <c r="C190" i="1"/>
  <c r="C193" i="1"/>
  <c r="C196" i="1"/>
  <c r="C203" i="1"/>
  <c r="C199" i="1" s="1"/>
  <c r="C211" i="1"/>
  <c r="C217" i="1"/>
  <c r="C220" i="1"/>
  <c r="D215" i="1" l="1"/>
  <c r="D208" i="1"/>
  <c r="D131" i="1"/>
  <c r="D130" i="1" s="1"/>
  <c r="D189" i="1"/>
  <c r="D119" i="1"/>
  <c r="D124" i="1"/>
  <c r="C134" i="1"/>
  <c r="D175" i="1"/>
  <c r="D150" i="1"/>
  <c r="C210" i="1"/>
  <c r="C183" i="1"/>
  <c r="C116" i="1"/>
  <c r="E131" i="1"/>
  <c r="D135" i="1"/>
  <c r="D134" i="1" s="1"/>
  <c r="E139" i="1"/>
  <c r="H19" i="1"/>
  <c r="H20" i="1"/>
  <c r="H21" i="1"/>
  <c r="H18" i="1"/>
  <c r="E30" i="1"/>
  <c r="E29" i="1"/>
  <c r="E28" i="1"/>
  <c r="E27" i="1"/>
  <c r="E26" i="1"/>
  <c r="E38" i="1"/>
  <c r="E37" i="1"/>
  <c r="E36" i="1"/>
  <c r="E35" i="1"/>
  <c r="F21" i="1"/>
  <c r="G21" i="1" s="1"/>
  <c r="F20" i="1"/>
  <c r="G20" i="1" s="1"/>
  <c r="F19" i="1"/>
  <c r="G19" i="1" s="1"/>
  <c r="F18" i="1"/>
  <c r="F7" i="1"/>
  <c r="G7" i="1" s="1"/>
  <c r="H7" i="1" s="1"/>
  <c r="F6" i="1"/>
  <c r="G6" i="1" s="1"/>
  <c r="H6" i="1" s="1"/>
  <c r="F5" i="1"/>
  <c r="G5" i="1" s="1"/>
  <c r="E215" i="1" l="1"/>
  <c r="D211" i="1"/>
  <c r="D210" i="1" s="1"/>
  <c r="E189" i="1"/>
  <c r="D185" i="1"/>
  <c r="D183" i="1" s="1"/>
  <c r="E208" i="1"/>
  <c r="D203" i="1"/>
  <c r="D199" i="1" s="1"/>
  <c r="C115" i="1"/>
  <c r="H22" i="1"/>
  <c r="E115" i="1"/>
  <c r="G22" i="1"/>
  <c r="G8" i="1"/>
  <c r="F8" i="1"/>
  <c r="E39" i="1"/>
  <c r="E31" i="1"/>
  <c r="H8" i="1"/>
  <c r="C55" i="1" l="1"/>
  <c r="J56" i="1" s="1"/>
  <c r="C59" i="1" l="1"/>
</calcChain>
</file>

<file path=xl/sharedStrings.xml><?xml version="1.0" encoding="utf-8"?>
<sst xmlns="http://schemas.openxmlformats.org/spreadsheetml/2006/main" count="207" uniqueCount="188">
  <si>
    <t>№</t>
  </si>
  <si>
    <t>Должность</t>
  </si>
  <si>
    <t>Численность, чел</t>
  </si>
  <si>
    <t>Мес. оклад, руб.</t>
  </si>
  <si>
    <t>Занятость, нед.</t>
  </si>
  <si>
    <t>Оклад, руб.</t>
  </si>
  <si>
    <t>Зарплата, руб.</t>
  </si>
  <si>
    <t>Конструктор</t>
  </si>
  <si>
    <t>Технолог</t>
  </si>
  <si>
    <t>Испытатель</t>
  </si>
  <si>
    <t>Итого</t>
  </si>
  <si>
    <t>ПФР</t>
  </si>
  <si>
    <t>НДФЛ</t>
  </si>
  <si>
    <t>Соц</t>
  </si>
  <si>
    <t>Мед</t>
  </si>
  <si>
    <t>Затраты на заработную плату</t>
  </si>
  <si>
    <t>Оборудование</t>
  </si>
  <si>
    <t>Стоимость, руб.</t>
  </si>
  <si>
    <t>Плоттер</t>
  </si>
  <si>
    <t>Кол-во, шт.</t>
  </si>
  <si>
    <t>Стоимость одного устройства, руб.</t>
  </si>
  <si>
    <t>ПВЭМ (конструктора)</t>
  </si>
  <si>
    <t>ПВЭМ (технолога)</t>
  </si>
  <si>
    <t>МФУ</t>
  </si>
  <si>
    <t>Полный ожидаемый срок эксплуатации</t>
  </si>
  <si>
    <t>Срок эксплуатации</t>
  </si>
  <si>
    <t>Наименование материалов</t>
  </si>
  <si>
    <t>Цена, руб.</t>
  </si>
  <si>
    <t>Бумага «Снегурочка» 500 листов</t>
  </si>
  <si>
    <t>Бумага для плоттера «Lomond»</t>
  </si>
  <si>
    <t>Флеш-накопитель 32GB «OltraMax»</t>
  </si>
  <si>
    <t>Канцелярские принадлежности</t>
  </si>
  <si>
    <t>Наименование</t>
  </si>
  <si>
    <t>Microsoft Windows 10</t>
  </si>
  <si>
    <t>Microsoft Office 2019</t>
  </si>
  <si>
    <t>Mathcad Professional – Individual</t>
  </si>
  <si>
    <t>Аскон КОМПАС-3D v18</t>
  </si>
  <si>
    <t>БД InterMech Search</t>
  </si>
  <si>
    <t>Табл 1, 2, 3 не влияет</t>
  </si>
  <si>
    <t>таблица 4</t>
  </si>
  <si>
    <t>К таблице 4</t>
  </si>
  <si>
    <t>Таблица 5, 6</t>
  </si>
  <si>
    <t>Табл 7</t>
  </si>
  <si>
    <t>Табл 8</t>
  </si>
  <si>
    <t>Накладные расходы</t>
  </si>
  <si>
    <t>коэф накл расходов 0,6 - 1,0</t>
  </si>
  <si>
    <t>Район</t>
  </si>
  <si>
    <t>Площадь, м2</t>
  </si>
  <si>
    <t>ст. м. Электрозаводская</t>
  </si>
  <si>
    <t>ст. м. Выхино</t>
  </si>
  <si>
    <t>ст. м. Новогиреево</t>
  </si>
  <si>
    <t>ст. м. Курская</t>
  </si>
  <si>
    <t>ст. м. Царицыно</t>
  </si>
  <si>
    <t>таблица 9</t>
  </si>
  <si>
    <t>Количество месяцев на разработку</t>
  </si>
  <si>
    <t>Сум. Расх. На проектирование</t>
  </si>
  <si>
    <t>Затраты на амортизацию оборудования</t>
  </si>
  <si>
    <t>Затраты на оборудование</t>
  </si>
  <si>
    <t>Затраты на программное обеспечение</t>
  </si>
  <si>
    <t>Затраты на организацию рабочих мест</t>
  </si>
  <si>
    <t>Затраты на расходные материалы</t>
  </si>
  <si>
    <t>1</t>
  </si>
  <si>
    <t>1.1</t>
  </si>
  <si>
    <t>1.2</t>
  </si>
  <si>
    <t>1.3</t>
  </si>
  <si>
    <t>1.4</t>
  </si>
  <si>
    <t>1.5</t>
  </si>
  <si>
    <t>1.3.1</t>
  </si>
  <si>
    <t>1.3.2</t>
  </si>
  <si>
    <t>1.3.3</t>
  </si>
  <si>
    <t>1.3.4</t>
  </si>
  <si>
    <t>1.4.1</t>
  </si>
  <si>
    <t>1.4.2</t>
  </si>
  <si>
    <t>1.4.3</t>
  </si>
  <si>
    <t>1.4.4</t>
  </si>
  <si>
    <t>1.6</t>
  </si>
  <si>
    <t>1.6.1</t>
  </si>
  <si>
    <t>1.6.2</t>
  </si>
  <si>
    <t>1.6.3</t>
  </si>
  <si>
    <t>2</t>
  </si>
  <si>
    <t>3</t>
  </si>
  <si>
    <t>2.1</t>
  </si>
  <si>
    <t>2.2</t>
  </si>
  <si>
    <t>2.1.1</t>
  </si>
  <si>
    <t>2.1.2</t>
  </si>
  <si>
    <t>2.3</t>
  </si>
  <si>
    <t>2.4</t>
  </si>
  <si>
    <t>2.2.1</t>
  </si>
  <si>
    <t>2.2.2</t>
  </si>
  <si>
    <t>2.3.1</t>
  </si>
  <si>
    <t>2.3.2</t>
  </si>
  <si>
    <t>2.5</t>
  </si>
  <si>
    <t>2.4.1</t>
  </si>
  <si>
    <t>2.4.2</t>
  </si>
  <si>
    <t>2.6</t>
  </si>
  <si>
    <t>2.5.1</t>
  </si>
  <si>
    <t>2.5.2</t>
  </si>
  <si>
    <t>2.6.1</t>
  </si>
  <si>
    <t>2.6.2</t>
  </si>
  <si>
    <t>2.7</t>
  </si>
  <si>
    <t>2.7.1</t>
  </si>
  <si>
    <t>2.7.2</t>
  </si>
  <si>
    <t>2.8</t>
  </si>
  <si>
    <t>2.9</t>
  </si>
  <si>
    <t>2.8.1</t>
  </si>
  <si>
    <t>2.8.2</t>
  </si>
  <si>
    <t>2.8.3</t>
  </si>
  <si>
    <t>2.8.4</t>
  </si>
  <si>
    <t>2.9.1</t>
  </si>
  <si>
    <t>2.9.2</t>
  </si>
  <si>
    <t>2.9.3</t>
  </si>
  <si>
    <t>2.10</t>
  </si>
  <si>
    <t>2.11</t>
  </si>
  <si>
    <t>2.12</t>
  </si>
  <si>
    <t>2.13</t>
  </si>
  <si>
    <t>2.10.1</t>
  </si>
  <si>
    <t>2.10.2</t>
  </si>
  <si>
    <t>2.11.1</t>
  </si>
  <si>
    <t>2.11.2</t>
  </si>
  <si>
    <t>2.12.1</t>
  </si>
  <si>
    <t>2.12.2</t>
  </si>
  <si>
    <t>3.1</t>
  </si>
  <si>
    <t>3.2</t>
  </si>
  <si>
    <t>4</t>
  </si>
  <si>
    <t>5</t>
  </si>
  <si>
    <t>5.1</t>
  </si>
  <si>
    <t>5.2</t>
  </si>
  <si>
    <t>5.3</t>
  </si>
  <si>
    <t>5.4</t>
  </si>
  <si>
    <t>5.2.1</t>
  </si>
  <si>
    <t>5.2.2</t>
  </si>
  <si>
    <t>5.2.3</t>
  </si>
  <si>
    <t>5.2.4</t>
  </si>
  <si>
    <t>5.3.1</t>
  </si>
  <si>
    <t>5.3.2</t>
  </si>
  <si>
    <t>5.4.1</t>
  </si>
  <si>
    <t>5.4.2</t>
  </si>
  <si>
    <t>5.5</t>
  </si>
  <si>
    <t>5.5.1</t>
  </si>
  <si>
    <t>5.5.2</t>
  </si>
  <si>
    <t>6.1</t>
  </si>
  <si>
    <t>6.2</t>
  </si>
  <si>
    <t>6.3</t>
  </si>
  <si>
    <t>6.4</t>
  </si>
  <si>
    <t>6.4.1</t>
  </si>
  <si>
    <t>6.4.2</t>
  </si>
  <si>
    <t>6.4.3</t>
  </si>
  <si>
    <t>6.4.4</t>
  </si>
  <si>
    <t>6.4.5</t>
  </si>
  <si>
    <t>6.4.6</t>
  </si>
  <si>
    <t>7</t>
  </si>
  <si>
    <t>7.1</t>
  </si>
  <si>
    <t>7.2</t>
  </si>
  <si>
    <t>7.1.1</t>
  </si>
  <si>
    <t>7.1.2</t>
  </si>
  <si>
    <t>7.1.3</t>
  </si>
  <si>
    <t>7.1.4</t>
  </si>
  <si>
    <t>7.1.5</t>
  </si>
  <si>
    <t>7.2.1</t>
  </si>
  <si>
    <t>7.2.2</t>
  </si>
  <si>
    <t>7.3</t>
  </si>
  <si>
    <t>7.3.1</t>
  </si>
  <si>
    <t>7.3.2</t>
  </si>
  <si>
    <t>3.2.1</t>
  </si>
  <si>
    <t>3.2.2</t>
  </si>
  <si>
    <t>сумма?</t>
  </si>
  <si>
    <t>k1</t>
  </si>
  <si>
    <t>k2</t>
  </si>
  <si>
    <t>N3</t>
  </si>
  <si>
    <t>3.1.1 (2017</t>
  </si>
  <si>
    <t>3.1.2(2018)</t>
  </si>
  <si>
    <t>k0, тот что  для средней зп</t>
  </si>
  <si>
    <t>Затраты</t>
  </si>
  <si>
    <t>Сумма, руб.</t>
  </si>
  <si>
    <t>На заработную плату</t>
  </si>
  <si>
    <t>На оборудование</t>
  </si>
  <si>
    <t>На амортизацию оборудования</t>
  </si>
  <si>
    <t>На расходные материалы</t>
  </si>
  <si>
    <t>На программное обеспечение</t>
  </si>
  <si>
    <t>На организацию рабочих мест</t>
  </si>
  <si>
    <t>Изготовлении ОО для ПИ</t>
  </si>
  <si>
    <t>ПИ</t>
  </si>
  <si>
    <t>Корректировка РКД</t>
  </si>
  <si>
    <t>Присвоение литеры "О"</t>
  </si>
  <si>
    <t>Изготовлнение образцов для МВИ</t>
  </si>
  <si>
    <t>Участие в МВИ</t>
  </si>
  <si>
    <t>Иготовление партии для ГЛИ</t>
  </si>
  <si>
    <t>общие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</si>
</sst>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₽&quot;"/>
    <numFmt numFmtId="165" formatCode="#,##0.00\ _₽"/>
    <numFmt numFmtId="168" formatCode="_-* #,##0.00\ _ \р\у\б/_-;\-* #,##0.00\ _р\у\б/_-;_-* &quot;-&quot;??\ _р\у\б/_-;_-@_-"/>
  </numFmts>
  <fonts count="3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2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 wrapText="1"/>
    </xf>
    <xf numFmtId="0" fontId="1" fillId="0" borderId="9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164" fontId="0" fillId="2" borderId="14" xfId="0" applyNumberFormat="1" applyFill="1" applyBorder="1" applyAlignment="1">
      <alignment horizontal="center" vertical="center"/>
    </xf>
    <xf numFmtId="164" fontId="0" fillId="2" borderId="15" xfId="0" applyNumberFormat="1" applyFill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2" borderId="9" xfId="0" applyNumberFormat="1" applyFill="1" applyBorder="1" applyAlignment="1">
      <alignment horizontal="center" vertical="center"/>
    </xf>
    <xf numFmtId="164" fontId="0" fillId="2" borderId="11" xfId="0" applyNumberFormat="1" applyFill="1" applyBorder="1" applyAlignment="1">
      <alignment horizontal="center" vertical="center"/>
    </xf>
    <xf numFmtId="164" fontId="0" fillId="2" borderId="12" xfId="0" applyNumberFormat="1" applyFill="1" applyBorder="1" applyAlignment="1">
      <alignment horizontal="center" vertical="center"/>
    </xf>
    <xf numFmtId="164" fontId="0" fillId="2" borderId="7" xfId="0" applyNumberFormat="1" applyFont="1" applyFill="1" applyBorder="1" applyAlignment="1">
      <alignment horizontal="center" vertical="center"/>
    </xf>
    <xf numFmtId="164" fontId="0" fillId="2" borderId="9" xfId="0" applyNumberFormat="1" applyFont="1" applyFill="1" applyBorder="1" applyAlignment="1">
      <alignment horizontal="center" vertical="center"/>
    </xf>
    <xf numFmtId="164" fontId="0" fillId="2" borderId="11" xfId="0" applyNumberFormat="1" applyFont="1" applyFill="1" applyBorder="1" applyAlignment="1">
      <alignment horizontal="center" vertical="center"/>
    </xf>
    <xf numFmtId="164" fontId="0" fillId="2" borderId="12" xfId="0" applyNumberFormat="1" applyFont="1" applyFill="1" applyBorder="1" applyAlignment="1">
      <alignment horizontal="center" vertical="center"/>
    </xf>
    <xf numFmtId="164" fontId="1" fillId="2" borderId="15" xfId="0" applyNumberFormat="1" applyFont="1" applyFill="1" applyBorder="1" applyAlignment="1">
      <alignment horizontal="center" vertical="center"/>
    </xf>
    <xf numFmtId="164" fontId="1" fillId="2" borderId="9" xfId="0" applyNumberFormat="1" applyFont="1" applyFill="1" applyBorder="1" applyAlignment="1">
      <alignment horizontal="center" vertical="center"/>
    </xf>
    <xf numFmtId="164" fontId="1" fillId="2" borderId="12" xfId="0" applyNumberFormat="1" applyFont="1" applyFill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9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" fontId="2" fillId="0" borderId="0" xfId="0" applyNumberFormat="1" applyFont="1"/>
    <xf numFmtId="49" fontId="0" fillId="0" borderId="0" xfId="0" applyNumberFormat="1" applyAlignment="1">
      <alignment horizontal="center" vertical="center"/>
    </xf>
    <xf numFmtId="164" fontId="2" fillId="0" borderId="0" xfId="0" applyNumberFormat="1" applyFont="1"/>
    <xf numFmtId="164" fontId="2" fillId="0" borderId="0" xfId="0" applyNumberFormat="1" applyFont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2" fillId="4" borderId="0" xfId="0" applyNumberFormat="1" applyFont="1" applyFill="1" applyAlignment="1">
      <alignment horizontal="center" vertical="center"/>
    </xf>
    <xf numFmtId="165" fontId="2" fillId="0" borderId="0" xfId="0" applyNumberFormat="1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165" fontId="2" fillId="4" borderId="6" xfId="0" applyNumberFormat="1" applyFont="1" applyFill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9" xfId="0" applyBorder="1" applyAlignment="1">
      <alignment horizontal="center" vertical="center" textRotation="90"/>
    </xf>
    <xf numFmtId="0" fontId="0" fillId="0" borderId="22" xfId="0" applyBorder="1" applyAlignment="1">
      <alignment horizontal="center" vertical="center" textRotation="90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164" fontId="2" fillId="0" borderId="0" xfId="0" applyNumberFormat="1" applyFont="1" applyFill="1" applyAlignment="1">
      <alignment horizontal="center" vertical="center"/>
    </xf>
    <xf numFmtId="168" fontId="0" fillId="2" borderId="9" xfId="0" applyNumberFormat="1" applyFill="1" applyBorder="1" applyAlignment="1">
      <alignment horizontal="center" vertical="center"/>
    </xf>
    <xf numFmtId="168" fontId="0" fillId="2" borderId="9" xfId="0" applyNumberFormat="1" applyFont="1" applyFill="1" applyBorder="1" applyAlignment="1">
      <alignment horizontal="center" vertical="center"/>
    </xf>
    <xf numFmtId="168" fontId="0" fillId="0" borderId="9" xfId="0" applyNumberFormat="1" applyBorder="1" applyAlignment="1">
      <alignment horizontal="center" vertical="center"/>
    </xf>
    <xf numFmtId="168" fontId="1" fillId="2" borderId="9" xfId="0" applyNumberFormat="1" applyFont="1" applyFill="1" applyBorder="1" applyAlignment="1">
      <alignment horizontal="center" vertical="center"/>
    </xf>
    <xf numFmtId="168" fontId="0" fillId="0" borderId="12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32787831465943879"/>
          <c:y val="0.23747646528096963"/>
          <c:w val="0.36190595784281376"/>
          <c:h val="0.44417093667898011"/>
        </c:manualLayout>
      </c:layout>
      <c:pie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D7A-494F-A449-2EFE6EC06A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7A-494F-A449-2EFE6EC06AE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D7A-494F-A449-2EFE6EC06AE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1D7A-494F-A449-2EFE6EC06AE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D7A-494F-A449-2EFE6EC06AE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6350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1D7A-494F-A449-2EFE6EC06AE3}"/>
              </c:ext>
            </c:extLst>
          </c:dPt>
          <c:dLbls>
            <c:dLbl>
              <c:idx val="0"/>
              <c:layout>
                <c:manualLayout>
                  <c:x val="-5.8079325703354091E-3"/>
                  <c:y val="5.403660813571387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31E99E12-0A5D-4BCB-BBC2-44AB9DE696A3}" type="CATEGORYNAME">
                      <a:rPr lang="ru-RU" sz="105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/>
                      <a:t> – </a:t>
                    </a:r>
                    <a:br>
                      <a:rPr lang="ru-RU" sz="1050" baseline="0"/>
                    </a:br>
                    <a:fld id="{C3AD1CA4-D47D-49C4-9053-0CB105A71EF9}" type="VALUE">
                      <a:rPr lang="ru-RU" sz="1050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/>
                      <a:t> – </a:t>
                    </a:r>
                    <a:br>
                      <a:rPr lang="ru-RU" sz="1050" baseline="0"/>
                    </a:br>
                    <a:fld id="{11B5938B-354C-4FB1-86D3-436F4FACAD91}" type="PERCENTAGE">
                      <a:rPr lang="ru-RU" sz="1050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38358406314125"/>
                      <c:h val="0.1245234975815412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D7A-494F-A449-2EFE6EC06AE3}"/>
                </c:ext>
              </c:extLst>
            </c:dLbl>
            <c:dLbl>
              <c:idx val="1"/>
              <c:layout>
                <c:manualLayout>
                  <c:x val="-0.26107965249614229"/>
                  <c:y val="5.599188499843305E-2"/>
                </c:manualLayout>
              </c:layout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80050982253007"/>
                      <c:h val="0.1256252051820512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1D7A-494F-A449-2EFE6EC06AE3}"/>
                </c:ext>
              </c:extLst>
            </c:dLbl>
            <c:dLbl>
              <c:idx val="2"/>
              <c:layout>
                <c:manualLayout>
                  <c:x val="-0.14285981481481483"/>
                  <c:y val="-9.9441666666666664E-2"/>
                </c:manualLayout>
              </c:layout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6284766658923895"/>
                      <c:h val="0.1079129995630684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1D7A-494F-A449-2EFE6EC06AE3}"/>
                </c:ext>
              </c:extLst>
            </c:dLbl>
            <c:dLbl>
              <c:idx val="3"/>
              <c:layout>
                <c:manualLayout>
                  <c:x val="0.20353710472945974"/>
                  <c:y val="-0.11270697793646603"/>
                </c:manualLayout>
              </c:layout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32226758469582995"/>
                      <c:h val="9.277941949124797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6-1D7A-494F-A449-2EFE6EC06AE3}"/>
                </c:ext>
              </c:extLst>
            </c:dLbl>
            <c:dLbl>
              <c:idx val="4"/>
              <c:layout>
                <c:manualLayout>
                  <c:x val="8.1214259259259264E-2"/>
                  <c:y val="9.3698379629629597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C99458D-692F-4D70-AA46-9D6B2B581DDD}" type="CATEGORYNAME">
                      <a:rPr lang="ru-RU" sz="105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 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fld id="{5CDFC94C-37E9-4E05-B710-067A1DB479C7}" type="VALU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578C3C3C-4CD8-414D-9795-8C440E2C465A}" type="PERCENTAG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929629629629632"/>
                      <c:h val="0.1585842592592592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D7A-494F-A449-2EFE6EC06AE3}"/>
                </c:ext>
              </c:extLst>
            </c:dLbl>
            <c:dLbl>
              <c:idx val="5"/>
              <c:layout>
                <c:manualLayout>
                  <c:x val="5.4725323704808031E-2"/>
                  <c:y val="-3.1753113184343595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C2A21E0-F8CE-4B9B-B94E-701938A0364C}" type="CATEGORYNAME">
                      <a:rPr lang="ru-RU" sz="105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/>
                      <a:t> – </a:t>
                    </a:r>
                    <a:br>
                      <a:rPr lang="ru-RU" sz="1050" baseline="0"/>
                    </a:br>
                    <a:fld id="{11D6976E-31C3-47AF-A0CB-46C5F4405BD2}" type="VALUE">
                      <a:rPr lang="ru-RU" sz="1050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/>
                      <a:t> – </a:t>
                    </a:r>
                    <a:br>
                      <a:rPr lang="ru-RU" sz="1050" baseline="0"/>
                    </a:br>
                    <a:fld id="{2703F96D-FFE3-472C-9D97-791BEFC42BDF}" type="PERCENTAGE">
                      <a:rPr lang="ru-RU" sz="1050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 cap="rnd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172631130400824"/>
                      <c:h val="0.11822951285414218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D7A-494F-A449-2EFE6EC06AE3}"/>
                </c:ext>
              </c:extLst>
            </c:dLbl>
            <c:numFmt formatCode="0.00%" sourceLinked="0"/>
            <c:spPr>
              <a:solidFill>
                <a:schemeClr val="bg1">
                  <a:lumMod val="85000"/>
                </a:schemeClr>
              </a:solidFill>
              <a:ln w="12700" cap="rnd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1"/>
            <c:showSerName val="0"/>
            <c:showPercent val="1"/>
            <c:showBubbleSize val="0"/>
            <c:separator> – </c:separator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Лист1!$H$62:$H$68</c15:sqref>
                  </c15:fullRef>
                </c:ext>
              </c:extLst>
              <c:f>Лист1!$H$62:$H$67</c:f>
              <c:strCache>
                <c:ptCount val="6"/>
                <c:pt idx="0">
                  <c:v>На заработную плату</c:v>
                </c:pt>
                <c:pt idx="1">
                  <c:v>На оборудование</c:v>
                </c:pt>
                <c:pt idx="2">
                  <c:v>На амортизацию оборудования</c:v>
                </c:pt>
                <c:pt idx="3">
                  <c:v>На расходные материалы</c:v>
                </c:pt>
                <c:pt idx="4">
                  <c:v>На программное обеспечение</c:v>
                </c:pt>
                <c:pt idx="5">
                  <c:v>Накладные расходы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Лист1!$I$62:$I$68</c15:sqref>
                  </c15:fullRef>
                </c:ext>
              </c:extLst>
              <c:f>Лист1!$I$62:$I$67</c:f>
              <c:numCache>
                <c:formatCode>_-* #\ ##0.00\ _ \р\у\б/_-;\-* #\ ##0.00\ _р\у\б/_-;_-* "-"??\ _р\у\б/_-;_-@_-</c:formatCode>
                <c:ptCount val="6"/>
                <c:pt idx="0">
                  <c:v>6857997.120000001</c:v>
                </c:pt>
                <c:pt idx="1">
                  <c:v>868322</c:v>
                </c:pt>
                <c:pt idx="2">
                  <c:v>166254.36800000002</c:v>
                </c:pt>
                <c:pt idx="3">
                  <c:v>320404</c:v>
                </c:pt>
                <c:pt idx="4">
                  <c:v>1978212</c:v>
                </c:pt>
                <c:pt idx="5">
                  <c:v>4800597.9840000002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Лист1!$I$68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 w="6350">
                      <a:solidFill>
                        <a:schemeClr val="tx1"/>
                      </a:solidFill>
                    </a:ln>
                    <a:effectLst/>
                  </c15:spPr>
                  <c15:bubble3D val="0"/>
                  <c15:dLbl>
                    <c:idx val="5"/>
                    <c:layout>
                      <c:manualLayout>
                        <c:x val="7.9558518518518515E-2"/>
                        <c:y val="-8.0282407407408479E-3"/>
                      </c:manualLayout>
                    </c:layout>
                    <c:tx>
                      <c:rich>
                        <a:bodyPr rot="0" spcFirstLastPara="1" vertOverflow="ellipsis" vert="horz" wrap="square" lIns="38100" tIns="19050" rIns="38100" bIns="19050" anchor="ctr" anchorCtr="1">
                          <a:noAutofit/>
                        </a:bodyPr>
                        <a:lstStyle/>
                        <a:p>
                          <a:pPr>
                            <a:defRPr sz="1050" b="0" i="0" u="none" strike="noStrike" kern="1200" baseline="0">
                              <a:solidFill>
                                <a:schemeClr val="tx1"/>
                              </a:solidFill>
                              <a:latin typeface="Times New Roman" panose="02020603050405020304" pitchFamily="18" charset="0"/>
                              <a:ea typeface="+mn-ea"/>
                              <a:cs typeface="Times New Roman" panose="02020603050405020304" pitchFamily="18" charset="0"/>
                            </a:defRPr>
                          </a:pPr>
                          <a:fld id="{EF0CE9A5-79BD-4316-9E09-3DCD75DC948B}" type="CATEGORYNAME">
                            <a:rPr lang="ru-RU" sz="105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pPr>
                              <a:defRPr sz="1050">
                                <a:solidFill>
                                  <a:schemeClr val="tx1"/>
                                </a:solidFill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[ИМЯ КАТЕГОРИИ]</a:t>
                          </a:fld>
                          <a:r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–</a:t>
                          </a:r>
                          <a:br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</a:br>
                          <a:r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</a:t>
                          </a:r>
                          <a:fld id="{A5DFA760-9725-4514-8E57-C533DDFBF0E1}" type="VALUE"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pPr>
                              <a:defRPr sz="1050">
                                <a:solidFill>
                                  <a:schemeClr val="tx1"/>
                                </a:solidFill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[ЗНАЧЕНИЕ]</a:t>
                          </a:fld>
                          <a:r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t> – </a:t>
                          </a:r>
                          <a:br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</a:br>
                          <a:fld id="{89B7A25A-A17F-4D2E-831F-6501A237CDEB}" type="PERCENTAGE">
                            <a:rPr lang="ru-RU" sz="1050" baseline="0">
                              <a:latin typeface="Times New Roman" panose="02020603050405020304" pitchFamily="18" charset="0"/>
                              <a:cs typeface="Times New Roman" panose="02020603050405020304" pitchFamily="18" charset="0"/>
                            </a:rPr>
                            <a:pPr>
                              <a:defRPr sz="1050">
                                <a:solidFill>
                                  <a:schemeClr val="tx1"/>
                                </a:solidFill>
                                <a:latin typeface="Times New Roman" panose="02020603050405020304" pitchFamily="18" charset="0"/>
                                <a:cs typeface="Times New Roman" panose="02020603050405020304" pitchFamily="18" charset="0"/>
                              </a:defRPr>
                            </a:pPr>
                            <a:t>[ПРОЦЕНТ]</a:t>
                          </a:fld>
                          <a:endParaRPr lang="ru-RU" sz="1050" baseline="0">
                            <a:latin typeface="Times New Roman" panose="02020603050405020304" pitchFamily="18" charset="0"/>
                            <a:cs typeface="Times New Roman" panose="02020603050405020304" pitchFamily="18" charset="0"/>
                          </a:endParaRPr>
                        </a:p>
                      </c:rich>
                    </c:tx>
                    <c:numFmt formatCode="0.00%" sourceLinked="0"/>
                    <c:spPr>
                      <a:solidFill>
                        <a:schemeClr val="bg1">
                          <a:lumMod val="85000"/>
                        </a:schemeClr>
                      </a:solidFill>
                      <a:ln w="12700" cap="rnd">
                        <a:solidFill>
                          <a:schemeClr val="tx1"/>
                        </a:solidFill>
                      </a:ln>
                      <a:effectLst/>
                    </c:spPr>
                    <c:txPr>
                      <a:bodyPr rot="0" spcFirstLastPara="1" vertOverflow="ellipsis" vert="horz" wrap="square" lIns="38100" tIns="19050" rIns="38100" bIns="19050" anchor="ctr" anchorCtr="1">
                        <a:noAutofit/>
                      </a:bodyPr>
                      <a:lstStyle/>
                      <a:p>
                        <a:pPr>
                          <a:defRPr sz="1050" b="0" i="0" u="none" strike="noStrike" kern="1200" baseline="0">
                            <a:solidFill>
                              <a:schemeClr val="tx1"/>
                            </a:solidFill>
                            <a:latin typeface="Times New Roman" panose="02020603050405020304" pitchFamily="18" charset="0"/>
                            <a:ea typeface="+mn-ea"/>
                            <a:cs typeface="Times New Roman" panose="02020603050405020304" pitchFamily="18" charset="0"/>
                          </a:defRPr>
                        </a:pPr>
                        <a:endParaRPr lang="ru-RU"/>
                      </a:p>
                    </c:txPr>
                    <c:dLblPos val="bestFit"/>
                    <c:showLegendKey val="0"/>
                    <c:showVal val="1"/>
                    <c:showCatName val="1"/>
                    <c:showSerName val="0"/>
                    <c:showPercent val="1"/>
                    <c:showBubbleSize val="0"/>
                    <c:separator> – </c:separator>
                    <c:extLst>
                      <c:ext uri="{CE6537A1-D6FC-4f65-9D91-7224C49458BB}">
                        <c15:layout>
                          <c:manualLayout>
                            <c:w val="0.35968796296296296"/>
                            <c:h val="0.12487685185185185"/>
                          </c:manualLayout>
                        </c15:layout>
                        <c15:dlblFieldTable/>
                        <c15:showDataLabelsRange val="0"/>
                      </c:ext>
                      <c:ext xmlns:c16="http://schemas.microsoft.com/office/drawing/2014/chart" uri="{C3380CC4-5D6E-409C-BE32-E72D297353CC}">
                        <c16:uniqueId val="{00000003-1D7A-494F-A449-2EFE6EC06AE3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0-1D7A-494F-A449-2EFE6EC06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176"/>
      </c:pieChart>
      <c:spPr>
        <a:solidFill>
          <a:schemeClr val="bg1"/>
        </a:solidFill>
        <a:ln w="9525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 anchor="ctr" anchorCtr="1"/>
    <a:lstStyle/>
    <a:p>
      <a:pPr>
        <a:defRPr>
          <a:solidFill>
            <a:schemeClr val="bg1"/>
          </a:solidFill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33555555555554"/>
          <c:y val="3.2706582633053219E-2"/>
          <c:w val="0.57608925925925925"/>
          <c:h val="0.72616293183940239"/>
        </c:manualLayout>
      </c:layout>
      <c:pieChart>
        <c:varyColors val="1"/>
        <c:ser>
          <c:idx val="0"/>
          <c:order val="0"/>
          <c:spPr>
            <a:ln w="9525"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CA6-4C67-AB3D-1F662F8E391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8CA6-4C67-AB3D-1F662F8E391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CA6-4C67-AB3D-1F662F8E391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A6-4C67-AB3D-1F662F8E391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CA6-4C67-AB3D-1F662F8E391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A6-4C67-AB3D-1F662F8E391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A6-4C67-AB3D-1F662F8E3912}"/>
              </c:ext>
            </c:extLst>
          </c:dPt>
          <c:dLbls>
            <c:dLbl>
              <c:idx val="0"/>
              <c:layout>
                <c:manualLayout>
                  <c:x val="0.13928981481481473"/>
                  <c:y val="4.611858076563958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5B794C2F-6791-46C3-BE4F-2557649DF8DC}" type="CATEGORYNAME">
                      <a:rPr lang="ru-RU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7378053F-6233-42E1-AD26-8412E5A31E07}" type="VALU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baseline="0"/>
                      <a:t> –</a:t>
                    </a:r>
                    <a:br>
                      <a:rPr lang="ru-RU" baseline="0"/>
                    </a:br>
                    <a:r>
                      <a:rPr lang="ru-RU" baseline="0"/>
                      <a:t> </a:t>
                    </a:r>
                    <a:fld id="{B54616B6-F3AE-412B-AA87-C96D9128801B}" type="PERCENTAG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976388888888891"/>
                      <c:h val="0.15535877684407096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8CA6-4C67-AB3D-1F662F8E3912}"/>
                </c:ext>
              </c:extLst>
            </c:dLbl>
            <c:dLbl>
              <c:idx val="1"/>
              <c:layout>
                <c:manualLayout>
                  <c:x val="-3.6451851851852712E-3"/>
                  <c:y val="3.0015172735760971E-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684955C1-56ED-468F-892D-67F19D06C231}" type="CATEGORYNAME">
                      <a:rPr lang="ru-RU" sz="105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 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fld id="{3A1879FC-1F20-41FC-9951-8378BEB52139}" type="VALU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 </a:t>
                    </a:r>
                    <a:fld id="{812BF767-1C94-4CD6-A309-A96FC92FAAA8}" type="PERCENTAG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041878834291444"/>
                      <c:h val="0.1226964395418492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8CA6-4C67-AB3D-1F662F8E3912}"/>
                </c:ext>
              </c:extLst>
            </c:dLbl>
            <c:dLbl>
              <c:idx val="2"/>
              <c:layout>
                <c:manualLayout>
                  <c:x val="1.7450833333333419E-2"/>
                  <c:y val="3.2633053221288515E-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97FA9E23-773D-4B04-9E5A-7675866F9C54}" type="CATEGORYNAME">
                      <a:rPr lang="ru-RU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A814AA52-F2F2-4E54-AE15-80E0BE3BF907}" type="VALU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baseline="0"/>
                      <a:t> –</a:t>
                    </a:r>
                    <a:br>
                      <a:rPr lang="ru-RU" baseline="0"/>
                    </a:br>
                    <a:r>
                      <a:rPr lang="ru-RU" baseline="0"/>
                      <a:t> </a:t>
                    </a:r>
                    <a:fld id="{2A89E7EC-4160-4BCB-BFA5-B92616459016}" type="PERCENTAG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652833333333331"/>
                      <c:h val="0.1292196759259259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CA6-4C67-AB3D-1F662F8E3912}"/>
                </c:ext>
              </c:extLst>
            </c:dLbl>
            <c:dLbl>
              <c:idx val="3"/>
              <c:layout>
                <c:manualLayout>
                  <c:x val="2.6581944444444359E-2"/>
                  <c:y val="0.19361951447245565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0AD527EC-27EB-4C3A-A46A-AA51D384C9C7}" type="CATEGORYNAME">
                      <a:rPr lang="ru-RU" sz="105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</a:t>
                    </a:r>
                    <a:fld id="{850C7F3A-89E3-4270-80FA-D0CCDB5C4349}" type="VALU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 </a:t>
                    </a:r>
                    <a:fld id="{FE99C2DB-0FB3-4828-96C6-694BCC190C47}" type="PERCENTAG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6409699375693169"/>
                      <c:h val="0.16087005266583174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CA6-4C67-AB3D-1F662F8E3912}"/>
                </c:ext>
              </c:extLst>
            </c:dLbl>
            <c:dLbl>
              <c:idx val="4"/>
              <c:layout>
                <c:manualLayout>
                  <c:x val="-5.268148148148191E-3"/>
                  <c:y val="-0.23454629629629631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D3DC4EA6-1004-4932-9106-6D80D6FF14BD}" type="CATEGORYNAME">
                      <a:rPr lang="ru-RU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43D13225-4411-45F0-9F48-A8DF27A4A8B6}" type="VALU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F326A022-EF6D-490F-873E-145E0625C5AC}" type="PERCENTAG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57111111111111"/>
                      <c:h val="0.1642699074074074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CA6-4C67-AB3D-1F662F8E3912}"/>
                </c:ext>
              </c:extLst>
            </c:dLbl>
            <c:dLbl>
              <c:idx val="5"/>
              <c:layout>
                <c:manualLayout>
                  <c:x val="1.9419259259259226E-2"/>
                  <c:y val="0.23115207749766573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12B6CE60-996B-45C4-855E-4E860718B517}" type="CATEGORYNAME">
                      <a:rPr lang="ru-RU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D0F915F5-96A4-4C97-9D1D-90D74E95E2C2}" type="VALU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baseline="0"/>
                      <a:t> – </a:t>
                    </a:r>
                    <a:br>
                      <a:rPr lang="ru-RU" baseline="0"/>
                    </a:br>
                    <a:fld id="{C669B606-0D46-4678-9C92-9316BA3702BB}" type="PERCENTAGE">
                      <a:rPr lang="ru-RU" baseline="0"/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baseline="0"/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165388888888883"/>
                      <c:h val="0.13699136321195143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CA6-4C67-AB3D-1F662F8E3912}"/>
                </c:ext>
              </c:extLst>
            </c:dLbl>
            <c:dLbl>
              <c:idx val="6"/>
              <c:layout>
                <c:manualLayout>
                  <c:x val="0.16943927609170861"/>
                  <c:y val="0.19741556730791024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050" b="0" i="0" u="none" strike="noStrike" kern="1200" baseline="0">
                        <a:solidFill>
                          <a:schemeClr val="tx1"/>
                        </a:solidFill>
                        <a:latin typeface="Times New Roman" panose="02020603050405020304" pitchFamily="18" charset="0"/>
                        <a:ea typeface="+mn-ea"/>
                        <a:cs typeface="Times New Roman" panose="02020603050405020304" pitchFamily="18" charset="0"/>
                      </a:defRPr>
                    </a:pPr>
                    <a:fld id="{ADAEA019-804C-41BC-BD26-03BD6E8E11D7}" type="CATEGORYNAME">
                      <a:rPr lang="ru-RU" sz="105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[ИМЯ КАТЕГОРИИ]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fld id="{3FCEE810-5FBE-4F0C-988B-0D2FE7B8FBE8}" type="VALU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[ЗНАЧЕНИЕ]</a:t>
                    </a:fld>
                    <a: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 – </a:t>
                    </a:r>
                    <a:br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fld id="{003570D9-B051-4088-94C2-9639ACFBBF6D}" type="PERCENTAGE">
                      <a:rPr lang="ru-RU" sz="1050" baseline="0"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pPr>
                        <a:defRPr sz="1050">
                          <a:solidFill>
                            <a:schemeClr val="tx1"/>
                          </a:solidFill>
                          <a:latin typeface="Times New Roman" panose="02020603050405020304" pitchFamily="18" charset="0"/>
                          <a:cs typeface="Times New Roman" panose="02020603050405020304" pitchFamily="18" charset="0"/>
                        </a:defRPr>
                      </a:pPr>
                      <a:t>[ПРОЦЕНТ]</a:t>
                    </a:fld>
                    <a:endParaRPr lang="ru-RU" sz="1050" baseline="0"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0.00%" sourceLinked="0"/>
              <c:spPr>
                <a:solidFill>
                  <a:schemeClr val="bg1">
                    <a:lumMod val="85000"/>
                  </a:schemeClr>
                </a:solidFill>
                <a:ln w="12700"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50" b="0" i="0" u="none" strike="noStrike" kern="1200" baseline="0">
                      <a:solidFill>
                        <a:schemeClr val="tx1"/>
                      </a:solidFill>
                      <a:latin typeface="Times New Roman" panose="02020603050405020304" pitchFamily="18" charset="0"/>
                      <a:ea typeface="+mn-ea"/>
                      <a:cs typeface="Times New Roman" panose="02020603050405020304" pitchFamily="18" charset="0"/>
                    </a:defRPr>
                  </a:pPr>
                  <a:endParaRPr lang="ru-RU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 –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4485199717165554"/>
                      <c:h val="0.1777139242346240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CA6-4C67-AB3D-1F662F8E3912}"/>
                </c:ext>
              </c:extLst>
            </c:dLbl>
            <c:numFmt formatCode="0.00%" sourceLinked="0"/>
            <c:spPr>
              <a:solidFill>
                <a:schemeClr val="bg1">
                  <a:lumMod val="85000"/>
                </a:schemeClr>
              </a:solidFill>
              <a:ln w="12700"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 – </c:separator>
            <c:showLeaderLines val="1"/>
            <c:leaderLines>
              <c:spPr>
                <a:ln w="12700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Лист1!$L$115:$L$121</c:f>
              <c:strCache>
                <c:ptCount val="7"/>
                <c:pt idx="0">
                  <c:v>Изготовлении ОО для ПИ</c:v>
                </c:pt>
                <c:pt idx="1">
                  <c:v>ПИ</c:v>
                </c:pt>
                <c:pt idx="2">
                  <c:v>Корректировка РКД</c:v>
                </c:pt>
                <c:pt idx="3">
                  <c:v>Присвоение литеры "О"</c:v>
                </c:pt>
                <c:pt idx="4">
                  <c:v>Изготовлнение образцов для МВИ</c:v>
                </c:pt>
                <c:pt idx="5">
                  <c:v>Участие в МВИ</c:v>
                </c:pt>
                <c:pt idx="6">
                  <c:v>Иготовление партии для ГЛИ</c:v>
                </c:pt>
              </c:strCache>
            </c:strRef>
          </c:cat>
          <c:val>
            <c:numRef>
              <c:f>Лист1!$M$115:$M$121</c:f>
              <c:numCache>
                <c:formatCode>_-* #\ ##0.00\ _ \р\у\б/_-;\-* #\ ##0.00\ _р\у\б/_-;_-* "-"??\ _р\у\б/_-;_-@_-</c:formatCode>
                <c:ptCount val="7"/>
                <c:pt idx="0">
                  <c:v>44727475.756570265</c:v>
                </c:pt>
                <c:pt idx="1">
                  <c:v>30960182.109835133</c:v>
                </c:pt>
                <c:pt idx="2">
                  <c:v>7923988.0140000004</c:v>
                </c:pt>
                <c:pt idx="3">
                  <c:v>1404791.94</c:v>
                </c:pt>
                <c:pt idx="4">
                  <c:v>87624688.614014834</c:v>
                </c:pt>
                <c:pt idx="5">
                  <c:v>9903003.0923937671</c:v>
                </c:pt>
                <c:pt idx="6">
                  <c:v>77021376.800321087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A6-4C67-AB3D-1F662F8E39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532305</xdr:colOff>
      <xdr:row>65</xdr:row>
      <xdr:rowOff>19998</xdr:rowOff>
    </xdr:from>
    <xdr:to>
      <xdr:col>12</xdr:col>
      <xdr:colOff>817380</xdr:colOff>
      <xdr:row>87</xdr:row>
      <xdr:rowOff>139473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623AA78-5CF2-4F0E-B8A2-84E62059F9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79373</xdr:colOff>
      <xdr:row>127</xdr:row>
      <xdr:rowOff>112712</xdr:rowOff>
    </xdr:from>
    <xdr:to>
      <xdr:col>14</xdr:col>
      <xdr:colOff>335873</xdr:colOff>
      <xdr:row>145</xdr:row>
      <xdr:rowOff>86649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192C3EAB-7D41-4170-97C3-448F131A9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6A81-2A2B-4807-A23C-9E8ED65C5CF8}">
  <dimension ref="A1:P264"/>
  <sheetViews>
    <sheetView tabSelected="1" topLeftCell="K130" zoomScaleNormal="100" workbookViewId="0">
      <selection activeCell="L148" sqref="L148"/>
    </sheetView>
  </sheetViews>
  <sheetFormatPr defaultRowHeight="15" x14ac:dyDescent="0.25"/>
  <cols>
    <col min="1" max="1" width="3" style="1" customWidth="1"/>
    <col min="2" max="2" width="36.7109375" style="1" customWidth="1"/>
    <col min="3" max="3" width="24.7109375" style="1" customWidth="1"/>
    <col min="4" max="4" width="22.85546875" style="1" customWidth="1"/>
    <col min="5" max="5" width="25.42578125" style="1" customWidth="1"/>
    <col min="6" max="6" width="13.140625" style="1" customWidth="1"/>
    <col min="7" max="7" width="16.28515625" style="1" customWidth="1"/>
    <col min="8" max="8" width="30.7109375" style="1" customWidth="1"/>
    <col min="9" max="9" width="19.42578125" style="1" customWidth="1"/>
    <col min="10" max="10" width="16.42578125" style="1" customWidth="1"/>
    <col min="11" max="11" width="16.140625" style="1" customWidth="1"/>
    <col min="12" max="12" width="44.140625" style="1" customWidth="1"/>
    <col min="13" max="13" width="24" style="1" customWidth="1"/>
    <col min="14" max="14" width="9.140625" style="1"/>
    <col min="15" max="16" width="20.85546875" style="1" customWidth="1"/>
    <col min="17" max="16384" width="9.140625" style="1"/>
  </cols>
  <sheetData>
    <row r="1" spans="1:8" ht="15.75" thickBot="1" x14ac:dyDescent="0.3">
      <c r="B1" s="1" t="s">
        <v>38</v>
      </c>
      <c r="C1" s="85" t="s">
        <v>54</v>
      </c>
      <c r="D1" s="86"/>
      <c r="E1" s="86"/>
      <c r="F1" s="2">
        <v>18</v>
      </c>
    </row>
    <row r="2" spans="1:8" ht="15.75" thickBot="1" x14ac:dyDescent="0.3"/>
    <row r="3" spans="1:8" ht="15.75" thickBot="1" x14ac:dyDescent="0.3">
      <c r="A3" s="80" t="s">
        <v>39</v>
      </c>
      <c r="B3" s="81"/>
      <c r="C3" s="81"/>
      <c r="D3" s="81"/>
      <c r="E3" s="81"/>
      <c r="F3" s="81"/>
      <c r="G3" s="81"/>
      <c r="H3" s="82"/>
    </row>
    <row r="4" spans="1:8" ht="15.75" thickBot="1" x14ac:dyDescent="0.3">
      <c r="A4" s="3" t="s">
        <v>0</v>
      </c>
      <c r="B4" s="4" t="s">
        <v>1</v>
      </c>
      <c r="C4" s="50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15</v>
      </c>
    </row>
    <row r="5" spans="1:8" x14ac:dyDescent="0.25">
      <c r="A5" s="6">
        <v>1</v>
      </c>
      <c r="B5" s="7" t="s">
        <v>7</v>
      </c>
      <c r="C5" s="7">
        <v>4</v>
      </c>
      <c r="D5" s="44">
        <v>40800</v>
      </c>
      <c r="E5" s="7">
        <v>52</v>
      </c>
      <c r="F5" s="28">
        <f>E5/4*D5*C5</f>
        <v>2121600</v>
      </c>
      <c r="G5" s="28">
        <f>F5+F5*$C$10</f>
        <v>2397408</v>
      </c>
      <c r="H5" s="29">
        <f>G5+0.2*G5+(G5+0.2*G5)*($C$11+$C$13+$C$12)</f>
        <v>3739956.4800000004</v>
      </c>
    </row>
    <row r="6" spans="1:8" x14ac:dyDescent="0.25">
      <c r="A6" s="8">
        <v>2</v>
      </c>
      <c r="B6" s="9" t="s">
        <v>8</v>
      </c>
      <c r="C6" s="9">
        <v>2</v>
      </c>
      <c r="D6" s="45">
        <v>35200</v>
      </c>
      <c r="E6" s="9">
        <v>44</v>
      </c>
      <c r="F6" s="30">
        <f>E6/4*D6*C6</f>
        <v>774400</v>
      </c>
      <c r="G6" s="30">
        <f>F6+F6*$C$10</f>
        <v>875072</v>
      </c>
      <c r="H6" s="31">
        <f>G6+0.2*G6+(G6+0.2*G6)*($C$11+$C$13+$C$12)</f>
        <v>1365112.3199999998</v>
      </c>
    </row>
    <row r="7" spans="1:8" x14ac:dyDescent="0.25">
      <c r="A7" s="8">
        <v>3</v>
      </c>
      <c r="B7" s="9" t="s">
        <v>9</v>
      </c>
      <c r="C7" s="9">
        <v>2</v>
      </c>
      <c r="D7" s="45">
        <v>45200</v>
      </c>
      <c r="E7" s="9">
        <v>44</v>
      </c>
      <c r="F7" s="30">
        <f t="shared" ref="F7" si="0">E7/4*D7*C7</f>
        <v>994400</v>
      </c>
      <c r="G7" s="30">
        <f>F7+F7*$C$10</f>
        <v>1123672</v>
      </c>
      <c r="H7" s="31">
        <f>G7+0.2*G7+(G7+0.2*G7)*($C$11+$C$13+$C$12)</f>
        <v>1752928.3199999998</v>
      </c>
    </row>
    <row r="8" spans="1:8" ht="15.75" thickBot="1" x14ac:dyDescent="0.3">
      <c r="A8" s="83" t="s">
        <v>10</v>
      </c>
      <c r="B8" s="84"/>
      <c r="C8" s="84"/>
      <c r="D8" s="84"/>
      <c r="E8" s="84"/>
      <c r="F8" s="32">
        <f>SUM(F5:F7)</f>
        <v>3890400</v>
      </c>
      <c r="G8" s="32">
        <f>SUM(G5:G7)</f>
        <v>4396152</v>
      </c>
      <c r="H8" s="33">
        <f>SUM(H5:H7)</f>
        <v>6857997.120000001</v>
      </c>
    </row>
    <row r="9" spans="1:8" ht="15.75" thickBot="1" x14ac:dyDescent="0.3"/>
    <row r="10" spans="1:8" x14ac:dyDescent="0.25">
      <c r="A10" s="87" t="s">
        <v>40</v>
      </c>
      <c r="B10" s="11" t="s">
        <v>12</v>
      </c>
      <c r="C10" s="12">
        <v>0.13</v>
      </c>
    </row>
    <row r="11" spans="1:8" x14ac:dyDescent="0.25">
      <c r="A11" s="88"/>
      <c r="B11" s="13" t="s">
        <v>11</v>
      </c>
      <c r="C11" s="14">
        <v>0.22</v>
      </c>
    </row>
    <row r="12" spans="1:8" x14ac:dyDescent="0.25">
      <c r="A12" s="88"/>
      <c r="B12" s="13" t="s">
        <v>13</v>
      </c>
      <c r="C12" s="14">
        <v>2.9000000000000001E-2</v>
      </c>
    </row>
    <row r="13" spans="1:8" ht="30" customHeight="1" x14ac:dyDescent="0.25">
      <c r="A13" s="88"/>
      <c r="B13" s="13" t="s">
        <v>14</v>
      </c>
      <c r="C13" s="14">
        <v>5.0999999999999997E-2</v>
      </c>
    </row>
    <row r="14" spans="1:8" ht="44.25" customHeight="1" thickBot="1" x14ac:dyDescent="0.3">
      <c r="A14" s="15"/>
      <c r="B14" s="16" t="s">
        <v>10</v>
      </c>
      <c r="C14" s="17">
        <f>SUM(C10:C13)</f>
        <v>0.43</v>
      </c>
    </row>
    <row r="15" spans="1:8" ht="15.75" thickBot="1" x14ac:dyDescent="0.3"/>
    <row r="16" spans="1:8" ht="15.75" thickBot="1" x14ac:dyDescent="0.3">
      <c r="A16" s="89" t="s">
        <v>41</v>
      </c>
      <c r="B16" s="90"/>
      <c r="C16" s="90"/>
      <c r="D16" s="90"/>
      <c r="E16" s="90"/>
      <c r="F16" s="90"/>
      <c r="G16" s="91"/>
      <c r="H16" s="18"/>
    </row>
    <row r="17" spans="1:8" ht="75" x14ac:dyDescent="0.25">
      <c r="A17" s="19" t="s">
        <v>0</v>
      </c>
      <c r="B17" s="20" t="s">
        <v>16</v>
      </c>
      <c r="C17" s="20" t="s">
        <v>19</v>
      </c>
      <c r="D17" s="20" t="s">
        <v>20</v>
      </c>
      <c r="E17" s="21" t="s">
        <v>25</v>
      </c>
      <c r="F17" s="21" t="s">
        <v>24</v>
      </c>
      <c r="G17" s="21" t="s">
        <v>56</v>
      </c>
      <c r="H17" s="22" t="s">
        <v>57</v>
      </c>
    </row>
    <row r="18" spans="1:8" x14ac:dyDescent="0.25">
      <c r="A18" s="8">
        <v>1</v>
      </c>
      <c r="B18" s="9" t="s">
        <v>21</v>
      </c>
      <c r="C18" s="10">
        <v>4</v>
      </c>
      <c r="D18" s="45">
        <v>140000</v>
      </c>
      <c r="E18" s="9">
        <v>260</v>
      </c>
      <c r="F18" s="30">
        <f>5*250</f>
        <v>1250</v>
      </c>
      <c r="G18" s="34">
        <f>C18*D18*E18/F18</f>
        <v>116480</v>
      </c>
      <c r="H18" s="35">
        <f>C18*D18</f>
        <v>560000</v>
      </c>
    </row>
    <row r="19" spans="1:8" x14ac:dyDescent="0.25">
      <c r="A19" s="8">
        <v>2</v>
      </c>
      <c r="B19" s="9" t="s">
        <v>22</v>
      </c>
      <c r="C19" s="10">
        <v>2</v>
      </c>
      <c r="D19" s="45">
        <v>84000</v>
      </c>
      <c r="E19" s="9">
        <v>220</v>
      </c>
      <c r="F19" s="30">
        <f>5*250</f>
        <v>1250</v>
      </c>
      <c r="G19" s="34">
        <f>C19*D19*E19/F19</f>
        <v>29568</v>
      </c>
      <c r="H19" s="35">
        <f t="shared" ref="H19:H21" si="1">C19*D19</f>
        <v>168000</v>
      </c>
    </row>
    <row r="20" spans="1:8" x14ac:dyDescent="0.25">
      <c r="A20" s="8">
        <v>3</v>
      </c>
      <c r="B20" s="9" t="s">
        <v>23</v>
      </c>
      <c r="C20" s="10">
        <v>2</v>
      </c>
      <c r="D20" s="45">
        <v>17140</v>
      </c>
      <c r="E20" s="9">
        <v>360</v>
      </c>
      <c r="F20" s="30">
        <f>10*250</f>
        <v>2500</v>
      </c>
      <c r="G20" s="34">
        <f>C20*D20*E20/F20</f>
        <v>4936.32</v>
      </c>
      <c r="H20" s="35">
        <f t="shared" si="1"/>
        <v>34280</v>
      </c>
    </row>
    <row r="21" spans="1:8" x14ac:dyDescent="0.25">
      <c r="A21" s="8">
        <v>4</v>
      </c>
      <c r="B21" s="9" t="s">
        <v>18</v>
      </c>
      <c r="C21" s="10">
        <v>1</v>
      </c>
      <c r="D21" s="45">
        <v>106042</v>
      </c>
      <c r="E21" s="9">
        <v>360</v>
      </c>
      <c r="F21" s="30">
        <f>10*250</f>
        <v>2500</v>
      </c>
      <c r="G21" s="34">
        <f t="shared" ref="G21" si="2">C21*D21*E21/F21</f>
        <v>15270.048000000001</v>
      </c>
      <c r="H21" s="35">
        <f t="shared" si="1"/>
        <v>106042</v>
      </c>
    </row>
    <row r="22" spans="1:8" ht="15.75" thickBot="1" x14ac:dyDescent="0.3">
      <c r="A22" s="83" t="s">
        <v>10</v>
      </c>
      <c r="B22" s="84"/>
      <c r="C22" s="84"/>
      <c r="D22" s="84"/>
      <c r="E22" s="84"/>
      <c r="F22" s="84"/>
      <c r="G22" s="36">
        <f>SUM(G18:G21)</f>
        <v>166254.36800000002</v>
      </c>
      <c r="H22" s="37">
        <f>SUM(H18:H21)</f>
        <v>868322</v>
      </c>
    </row>
    <row r="23" spans="1:8" ht="15.75" thickBot="1" x14ac:dyDescent="0.3"/>
    <row r="24" spans="1:8" ht="15.75" thickBot="1" x14ac:dyDescent="0.3">
      <c r="A24" s="80" t="s">
        <v>42</v>
      </c>
      <c r="B24" s="81"/>
      <c r="C24" s="81"/>
      <c r="D24" s="81"/>
      <c r="E24" s="82"/>
    </row>
    <row r="25" spans="1:8" ht="30.75" thickBot="1" x14ac:dyDescent="0.3">
      <c r="A25" s="3" t="s">
        <v>0</v>
      </c>
      <c r="B25" s="4" t="s">
        <v>32</v>
      </c>
      <c r="C25" s="50" t="s">
        <v>17</v>
      </c>
      <c r="D25" s="4" t="s">
        <v>19</v>
      </c>
      <c r="E25" s="27" t="s">
        <v>58</v>
      </c>
    </row>
    <row r="26" spans="1:8" x14ac:dyDescent="0.25">
      <c r="A26" s="6">
        <v>1</v>
      </c>
      <c r="B26" s="7" t="s">
        <v>33</v>
      </c>
      <c r="C26" s="44">
        <v>12560</v>
      </c>
      <c r="D26" s="7">
        <v>6</v>
      </c>
      <c r="E26" s="38">
        <f>C26*D26</f>
        <v>75360</v>
      </c>
    </row>
    <row r="27" spans="1:8" x14ac:dyDescent="0.25">
      <c r="A27" s="8">
        <v>2</v>
      </c>
      <c r="B27" s="9" t="s">
        <v>34</v>
      </c>
      <c r="C27" s="45">
        <v>5550</v>
      </c>
      <c r="D27" s="9">
        <v>6</v>
      </c>
      <c r="E27" s="39">
        <f t="shared" ref="E27:E30" si="3">C27*D27</f>
        <v>33300</v>
      </c>
    </row>
    <row r="28" spans="1:8" x14ac:dyDescent="0.25">
      <c r="A28" s="8">
        <v>3</v>
      </c>
      <c r="B28" s="9" t="s">
        <v>35</v>
      </c>
      <c r="C28" s="45">
        <v>91800</v>
      </c>
      <c r="D28" s="9">
        <v>6</v>
      </c>
      <c r="E28" s="39">
        <f t="shared" si="3"/>
        <v>550800</v>
      </c>
    </row>
    <row r="29" spans="1:8" x14ac:dyDescent="0.25">
      <c r="A29" s="8">
        <v>4</v>
      </c>
      <c r="B29" s="9" t="s">
        <v>36</v>
      </c>
      <c r="C29" s="45">
        <v>146000</v>
      </c>
      <c r="D29" s="9">
        <v>6</v>
      </c>
      <c r="E29" s="39">
        <f t="shared" si="3"/>
        <v>876000</v>
      </c>
    </row>
    <row r="30" spans="1:8" x14ac:dyDescent="0.25">
      <c r="A30" s="8">
        <v>5</v>
      </c>
      <c r="B30" s="9" t="s">
        <v>37</v>
      </c>
      <c r="C30" s="45">
        <v>73792</v>
      </c>
      <c r="D30" s="9">
        <v>6</v>
      </c>
      <c r="E30" s="39">
        <f t="shared" si="3"/>
        <v>442752</v>
      </c>
    </row>
    <row r="31" spans="1:8" ht="15.75" thickBot="1" x14ac:dyDescent="0.3">
      <c r="A31" s="83" t="s">
        <v>10</v>
      </c>
      <c r="B31" s="84"/>
      <c r="C31" s="84"/>
      <c r="D31" s="84"/>
      <c r="E31" s="40">
        <f>SUM(E26:E30)</f>
        <v>1978212</v>
      </c>
    </row>
    <row r="32" spans="1:8" ht="15.75" thickBot="1" x14ac:dyDescent="0.3">
      <c r="A32" s="13"/>
      <c r="B32" s="13"/>
      <c r="C32" s="13"/>
      <c r="D32" s="13"/>
      <c r="E32" s="13"/>
      <c r="F32" s="13"/>
    </row>
    <row r="33" spans="1:8" ht="15.75" thickBot="1" x14ac:dyDescent="0.3">
      <c r="A33" s="80" t="s">
        <v>43</v>
      </c>
      <c r="B33" s="81"/>
      <c r="C33" s="81"/>
      <c r="D33" s="81"/>
      <c r="E33" s="82"/>
      <c r="F33" s="13"/>
    </row>
    <row r="34" spans="1:8" ht="30.75" thickBot="1" x14ac:dyDescent="0.3">
      <c r="A34" s="3" t="s">
        <v>0</v>
      </c>
      <c r="B34" s="4" t="s">
        <v>26</v>
      </c>
      <c r="C34" s="50" t="s">
        <v>27</v>
      </c>
      <c r="D34" s="4" t="s">
        <v>19</v>
      </c>
      <c r="E34" s="27" t="s">
        <v>60</v>
      </c>
    </row>
    <row r="35" spans="1:8" x14ac:dyDescent="0.25">
      <c r="A35" s="6">
        <v>1</v>
      </c>
      <c r="B35" s="7" t="s">
        <v>28</v>
      </c>
      <c r="C35" s="44">
        <v>225</v>
      </c>
      <c r="D35" s="7">
        <v>1000</v>
      </c>
      <c r="E35" s="41">
        <f>C35*D35</f>
        <v>225000</v>
      </c>
    </row>
    <row r="36" spans="1:8" x14ac:dyDescent="0.25">
      <c r="A36" s="8">
        <v>2</v>
      </c>
      <c r="B36" s="9" t="s">
        <v>29</v>
      </c>
      <c r="C36" s="45">
        <v>375</v>
      </c>
      <c r="D36" s="9">
        <v>100</v>
      </c>
      <c r="E36" s="42">
        <f t="shared" ref="E36:E38" si="4">C36*D36</f>
        <v>37500</v>
      </c>
      <c r="F36" s="23"/>
      <c r="G36" s="23"/>
      <c r="H36" s="23"/>
    </row>
    <row r="37" spans="1:8" x14ac:dyDescent="0.25">
      <c r="A37" s="8">
        <v>3</v>
      </c>
      <c r="B37" s="9" t="s">
        <v>30</v>
      </c>
      <c r="C37" s="45">
        <v>338</v>
      </c>
      <c r="D37" s="9">
        <v>8</v>
      </c>
      <c r="E37" s="42">
        <f t="shared" si="4"/>
        <v>2704</v>
      </c>
    </row>
    <row r="38" spans="1:8" x14ac:dyDescent="0.25">
      <c r="A38" s="8">
        <v>4</v>
      </c>
      <c r="B38" s="9" t="s">
        <v>31</v>
      </c>
      <c r="C38" s="45">
        <v>9200</v>
      </c>
      <c r="D38" s="9">
        <v>6</v>
      </c>
      <c r="E38" s="42">
        <f t="shared" si="4"/>
        <v>55200</v>
      </c>
    </row>
    <row r="39" spans="1:8" ht="15.75" thickBot="1" x14ac:dyDescent="0.3">
      <c r="A39" s="83" t="s">
        <v>10</v>
      </c>
      <c r="B39" s="84"/>
      <c r="C39" s="84"/>
      <c r="D39" s="84"/>
      <c r="E39" s="43">
        <f>SUM(E35:E38)</f>
        <v>320404</v>
      </c>
    </row>
    <row r="40" spans="1:8" ht="15.75" thickBot="1" x14ac:dyDescent="0.3"/>
    <row r="41" spans="1:8" ht="15.75" thickBot="1" x14ac:dyDescent="0.3">
      <c r="A41" s="80" t="s">
        <v>53</v>
      </c>
      <c r="B41" s="81"/>
      <c r="C41" s="81"/>
      <c r="D41" s="82"/>
    </row>
    <row r="42" spans="1:8" ht="45.75" thickBot="1" x14ac:dyDescent="0.3">
      <c r="A42" s="3" t="s">
        <v>0</v>
      </c>
      <c r="B42" s="4" t="s">
        <v>46</v>
      </c>
      <c r="C42" s="50" t="s">
        <v>47</v>
      </c>
      <c r="D42" s="27" t="s">
        <v>59</v>
      </c>
    </row>
    <row r="43" spans="1:8" x14ac:dyDescent="0.25">
      <c r="A43" s="6">
        <v>1</v>
      </c>
      <c r="B43" s="7" t="s">
        <v>48</v>
      </c>
      <c r="C43" s="7">
        <v>39</v>
      </c>
      <c r="D43" s="41">
        <v>30000</v>
      </c>
    </row>
    <row r="44" spans="1:8" x14ac:dyDescent="0.25">
      <c r="A44" s="8">
        <v>2</v>
      </c>
      <c r="B44" s="9" t="s">
        <v>49</v>
      </c>
      <c r="C44" s="9">
        <v>38.799999999999997</v>
      </c>
      <c r="D44" s="42">
        <v>29500</v>
      </c>
    </row>
    <row r="45" spans="1:8" x14ac:dyDescent="0.25">
      <c r="A45" s="8">
        <v>3</v>
      </c>
      <c r="B45" s="9" t="s">
        <v>50</v>
      </c>
      <c r="C45" s="9">
        <v>36.5</v>
      </c>
      <c r="D45" s="42">
        <v>27400</v>
      </c>
    </row>
    <row r="46" spans="1:8" x14ac:dyDescent="0.25">
      <c r="A46" s="8">
        <v>4</v>
      </c>
      <c r="B46" s="9" t="s">
        <v>51</v>
      </c>
      <c r="C46" s="9">
        <v>37.5</v>
      </c>
      <c r="D46" s="42">
        <v>23900</v>
      </c>
    </row>
    <row r="47" spans="1:8" x14ac:dyDescent="0.25">
      <c r="A47" s="8">
        <v>5</v>
      </c>
      <c r="B47" s="9" t="s">
        <v>52</v>
      </c>
      <c r="C47" s="9">
        <v>39.299999999999997</v>
      </c>
      <c r="D47" s="42">
        <v>30500</v>
      </c>
    </row>
    <row r="48" spans="1:8" ht="15.75" thickBot="1" x14ac:dyDescent="0.3">
      <c r="A48" s="83" t="s">
        <v>10</v>
      </c>
      <c r="B48" s="84"/>
      <c r="C48" s="84"/>
      <c r="D48" s="43">
        <f>MIN(D43:D47)*F1</f>
        <v>430200</v>
      </c>
    </row>
    <row r="52" spans="2:11" x14ac:dyDescent="0.25">
      <c r="C52" s="24"/>
      <c r="D52" s="24"/>
      <c r="E52" s="24"/>
      <c r="F52" s="24"/>
      <c r="G52" s="24"/>
      <c r="H52" s="24"/>
      <c r="I52" s="24"/>
    </row>
    <row r="54" spans="2:11" ht="15.75" thickBot="1" x14ac:dyDescent="0.3"/>
    <row r="55" spans="2:11" ht="45.75" thickBot="1" x14ac:dyDescent="0.3">
      <c r="B55" s="25" t="s">
        <v>44</v>
      </c>
      <c r="C55" s="46">
        <f>$C$56*H8</f>
        <v>4800597.9840000002</v>
      </c>
      <c r="E55" s="27" t="s">
        <v>15</v>
      </c>
      <c r="F55" s="48" t="s">
        <v>57</v>
      </c>
      <c r="G55" s="21" t="s">
        <v>56</v>
      </c>
      <c r="H55" s="27" t="s">
        <v>60</v>
      </c>
      <c r="I55" s="27" t="s">
        <v>58</v>
      </c>
      <c r="J55" s="49" t="s">
        <v>44</v>
      </c>
      <c r="K55" s="27" t="s">
        <v>59</v>
      </c>
    </row>
    <row r="56" spans="2:11" ht="15.75" thickBot="1" x14ac:dyDescent="0.3">
      <c r="B56" s="15" t="s">
        <v>45</v>
      </c>
      <c r="C56" s="26">
        <v>0.7</v>
      </c>
      <c r="E56" s="33">
        <v>6857997.120000001</v>
      </c>
      <c r="F56" s="37">
        <v>868322</v>
      </c>
      <c r="G56" s="36">
        <v>166254.36800000002</v>
      </c>
      <c r="H56" s="43">
        <v>320404</v>
      </c>
      <c r="I56" s="40">
        <v>1978212</v>
      </c>
      <c r="J56" s="46">
        <f>C55</f>
        <v>4800597.9840000002</v>
      </c>
      <c r="K56" s="43">
        <v>430200</v>
      </c>
    </row>
    <row r="57" spans="2:11" x14ac:dyDescent="0.25">
      <c r="E57" s="47"/>
    </row>
    <row r="59" spans="2:11" x14ac:dyDescent="0.25">
      <c r="B59" s="1" t="s">
        <v>55</v>
      </c>
      <c r="C59" s="47">
        <f>H8+H22+G22+E31+E39+D48+C55</f>
        <v>15421987.472000003</v>
      </c>
    </row>
    <row r="60" spans="2:11" ht="15.75" thickBot="1" x14ac:dyDescent="0.3"/>
    <row r="61" spans="2:11" x14ac:dyDescent="0.25">
      <c r="H61" s="73" t="s">
        <v>172</v>
      </c>
      <c r="I61" s="74" t="s">
        <v>173</v>
      </c>
    </row>
    <row r="62" spans="2:11" x14ac:dyDescent="0.25">
      <c r="H62" s="75" t="s">
        <v>174</v>
      </c>
      <c r="I62" s="93">
        <v>6857997.120000001</v>
      </c>
    </row>
    <row r="63" spans="2:11" x14ac:dyDescent="0.25">
      <c r="H63" s="76" t="s">
        <v>175</v>
      </c>
      <c r="I63" s="94">
        <v>868322</v>
      </c>
    </row>
    <row r="64" spans="2:11" x14ac:dyDescent="0.25">
      <c r="H64" s="77" t="s">
        <v>176</v>
      </c>
      <c r="I64" s="94">
        <v>166254.36800000002</v>
      </c>
    </row>
    <row r="65" spans="8:9" x14ac:dyDescent="0.25">
      <c r="H65" s="75" t="s">
        <v>177</v>
      </c>
      <c r="I65" s="95">
        <v>320404</v>
      </c>
    </row>
    <row r="66" spans="8:9" x14ac:dyDescent="0.25">
      <c r="H66" s="75" t="s">
        <v>178</v>
      </c>
      <c r="I66" s="96">
        <v>1978212</v>
      </c>
    </row>
    <row r="67" spans="8:9" x14ac:dyDescent="0.25">
      <c r="H67" s="75" t="s">
        <v>44</v>
      </c>
      <c r="I67" s="95">
        <f>J56</f>
        <v>4800597.9840000002</v>
      </c>
    </row>
    <row r="68" spans="8:9" ht="15.75" thickBot="1" x14ac:dyDescent="0.3">
      <c r="H68" s="78" t="s">
        <v>179</v>
      </c>
      <c r="I68" s="97">
        <v>430200</v>
      </c>
    </row>
    <row r="69" spans="8:9" x14ac:dyDescent="0.25">
      <c r="I69" s="47">
        <f>SUM(I62:I67)</f>
        <v>14991787.472000003</v>
      </c>
    </row>
    <row r="112" spans="2:3" x14ac:dyDescent="0.25">
      <c r="B112" s="1" t="s">
        <v>168</v>
      </c>
      <c r="C112" s="1">
        <v>37</v>
      </c>
    </row>
    <row r="114" spans="2:16" ht="15.75" thickBot="1" x14ac:dyDescent="0.3">
      <c r="C114" s="63" t="s">
        <v>171</v>
      </c>
      <c r="D114" s="63">
        <v>0.85</v>
      </c>
      <c r="E114" s="1" t="s">
        <v>166</v>
      </c>
      <c r="F114" s="1">
        <v>0.89</v>
      </c>
      <c r="G114" s="1" t="s">
        <v>167</v>
      </c>
      <c r="H114" s="1">
        <v>1.1499999999999999</v>
      </c>
    </row>
    <row r="115" spans="2:16" ht="19.5" thickBot="1" x14ac:dyDescent="0.3">
      <c r="B115" s="71" t="s">
        <v>165</v>
      </c>
      <c r="C115" s="65">
        <f>SUM(C116,C134,C175,C182,C183,C199,C210)</f>
        <v>291473685.05000001</v>
      </c>
      <c r="D115" s="66">
        <f>SUM(D116,D134,D175,D182,D183,D199,D210)</f>
        <v>259565506.32713509</v>
      </c>
      <c r="E115" s="67">
        <f>D115/100*110</f>
        <v>285522056.95984858</v>
      </c>
      <c r="K115" s="1">
        <v>1</v>
      </c>
      <c r="L115" s="79" t="s">
        <v>180</v>
      </c>
      <c r="M115" s="93">
        <f>D116</f>
        <v>44727475.756570265</v>
      </c>
    </row>
    <row r="116" spans="2:16" ht="19.5" thickBot="1" x14ac:dyDescent="0.3">
      <c r="B116" s="64" t="s">
        <v>61</v>
      </c>
      <c r="C116" s="65">
        <f>SUM(C117,C118,C119,C124,C129,C130)</f>
        <v>49184206.93</v>
      </c>
      <c r="D116" s="69">
        <f>SUM(D117,D118,D119,D124,D129,D130)</f>
        <v>44727475.756570265</v>
      </c>
      <c r="E116" s="67"/>
      <c r="L116" s="79" t="s">
        <v>181</v>
      </c>
      <c r="M116" s="93">
        <f>D134</f>
        <v>30960182.109835133</v>
      </c>
    </row>
    <row r="117" spans="2:16" ht="18.75" x14ac:dyDescent="0.3">
      <c r="B117" s="62" t="s">
        <v>62</v>
      </c>
      <c r="C117" s="52">
        <v>3142008.4</v>
      </c>
      <c r="D117" s="58">
        <f>C117*$D$114</f>
        <v>2670707.1399999997</v>
      </c>
      <c r="E117" s="58">
        <f>D117/1.052/20</f>
        <v>126934.74999999997</v>
      </c>
      <c r="L117" s="79" t="s">
        <v>182</v>
      </c>
      <c r="M117" s="93">
        <f>D175</f>
        <v>7923988.0140000004</v>
      </c>
    </row>
    <row r="118" spans="2:16" ht="18.75" x14ac:dyDescent="0.3">
      <c r="B118" s="57" t="s">
        <v>63</v>
      </c>
      <c r="C118" s="52">
        <v>1262400</v>
      </c>
      <c r="D118" s="58">
        <f>C118*$F$114</f>
        <v>1123536</v>
      </c>
      <c r="E118" s="58">
        <f>D118/1.052/2</f>
        <v>534000</v>
      </c>
      <c r="L118" s="79" t="s">
        <v>183</v>
      </c>
      <c r="M118" s="93">
        <f>D182</f>
        <v>1404791.94</v>
      </c>
    </row>
    <row r="119" spans="2:16" ht="18.75" x14ac:dyDescent="0.25">
      <c r="B119" s="56" t="s">
        <v>64</v>
      </c>
      <c r="C119" s="55">
        <f>SUM(C120:C123)</f>
        <v>36867216.630000003</v>
      </c>
      <c r="D119" s="60">
        <f>SUM(D120:D123)</f>
        <v>33010223.041699998</v>
      </c>
      <c r="E119" s="58"/>
      <c r="L119" s="79" t="s">
        <v>184</v>
      </c>
      <c r="M119" s="93">
        <f>D183</f>
        <v>87624688.614014834</v>
      </c>
    </row>
    <row r="120" spans="2:16" ht="18.75" x14ac:dyDescent="0.3">
      <c r="B120" s="57" t="s">
        <v>67</v>
      </c>
      <c r="C120" s="52">
        <v>23354400</v>
      </c>
      <c r="D120" s="58">
        <f>C120*$F$114</f>
        <v>20785416</v>
      </c>
      <c r="E120" s="58">
        <f>D120/1.052/$C$112</f>
        <v>534000</v>
      </c>
      <c r="L120" s="79" t="s">
        <v>185</v>
      </c>
      <c r="M120" s="93">
        <f>D199</f>
        <v>9903003.0923937671</v>
      </c>
    </row>
    <row r="121" spans="2:16" ht="18.75" x14ac:dyDescent="0.3">
      <c r="B121" s="57" t="s">
        <v>68</v>
      </c>
      <c r="C121" s="52">
        <v>10387658.779999999</v>
      </c>
      <c r="D121" s="58">
        <f t="shared" ref="D121:D122" si="5">C121*$F$114</f>
        <v>9245016.314199999</v>
      </c>
      <c r="E121" s="58">
        <f>D121/1.052/37</f>
        <v>237514.54922926723</v>
      </c>
      <c r="L121" s="79" t="s">
        <v>186</v>
      </c>
      <c r="M121" s="93">
        <f>D210</f>
        <v>77021376.800321087</v>
      </c>
    </row>
    <row r="122" spans="2:16" ht="18.75" x14ac:dyDescent="0.3">
      <c r="B122" s="57" t="s">
        <v>69</v>
      </c>
      <c r="C122" s="52">
        <v>2362080</v>
      </c>
      <c r="D122" s="58">
        <f t="shared" si="5"/>
        <v>2102251.2000000002</v>
      </c>
      <c r="E122" s="58">
        <f>D122/37</f>
        <v>56817.600000000006</v>
      </c>
      <c r="M122" s="93">
        <f>SUM(M115:M121)</f>
        <v>259565506.32713509</v>
      </c>
      <c r="N122" s="1" t="s">
        <v>187</v>
      </c>
      <c r="O122" s="47">
        <f>SUM(I69,M122)</f>
        <v>274557293.79913509</v>
      </c>
      <c r="P122" s="47">
        <f>O122+M122/100*10</f>
        <v>300513844.43184859</v>
      </c>
    </row>
    <row r="123" spans="2:16" ht="18.75" x14ac:dyDescent="0.3">
      <c r="B123" s="57" t="s">
        <v>70</v>
      </c>
      <c r="C123" s="52">
        <v>763077.85</v>
      </c>
      <c r="D123" s="58">
        <f>C123*$H$114</f>
        <v>877539.52749999985</v>
      </c>
      <c r="E123" s="58">
        <f>D123/$C$112</f>
        <v>23717.284527027023</v>
      </c>
    </row>
    <row r="124" spans="2:16" ht="18.75" x14ac:dyDescent="0.25">
      <c r="B124" s="56" t="s">
        <v>65</v>
      </c>
      <c r="C124" s="55">
        <f>SUM(C125:C128)</f>
        <v>847150</v>
      </c>
      <c r="D124" s="60">
        <f>SUM(D125:D128)</f>
        <v>753963.5</v>
      </c>
      <c r="E124" s="58"/>
    </row>
    <row r="125" spans="2:16" ht="18.75" x14ac:dyDescent="0.3">
      <c r="B125" s="57" t="s">
        <v>71</v>
      </c>
      <c r="C125" s="52">
        <v>504960</v>
      </c>
      <c r="D125" s="58">
        <f>C125*$F$114</f>
        <v>449414.40000000002</v>
      </c>
      <c r="E125" s="58"/>
    </row>
    <row r="126" spans="2:16" ht="18.75" x14ac:dyDescent="0.3">
      <c r="B126" s="57" t="s">
        <v>72</v>
      </c>
      <c r="C126" s="52">
        <v>252672.78</v>
      </c>
      <c r="D126" s="58">
        <f t="shared" ref="D126:D128" si="6">C126*$F$114</f>
        <v>224878.77420000001</v>
      </c>
      <c r="E126" s="58"/>
    </row>
    <row r="127" spans="2:16" ht="18.75" x14ac:dyDescent="0.3">
      <c r="B127" s="57" t="s">
        <v>73</v>
      </c>
      <c r="C127" s="52">
        <v>63840</v>
      </c>
      <c r="D127" s="58">
        <f>$E$122</f>
        <v>56817.600000000006</v>
      </c>
      <c r="E127" s="58"/>
    </row>
    <row r="128" spans="2:16" ht="18.75" x14ac:dyDescent="0.3">
      <c r="B128" s="57" t="s">
        <v>74</v>
      </c>
      <c r="C128" s="52">
        <v>25677.22</v>
      </c>
      <c r="D128" s="58">
        <f t="shared" si="6"/>
        <v>22852.7258</v>
      </c>
      <c r="E128" s="58"/>
    </row>
    <row r="129" spans="2:5" ht="18.75" x14ac:dyDescent="0.3">
      <c r="B129" s="57" t="s">
        <v>66</v>
      </c>
      <c r="C129" s="52">
        <v>3677694.64</v>
      </c>
      <c r="D129" s="60">
        <f>C129*$F$114</f>
        <v>3273148.2296000002</v>
      </c>
      <c r="E129" s="58"/>
    </row>
    <row r="130" spans="2:5" ht="18.75" x14ac:dyDescent="0.25">
      <c r="B130" s="56" t="s">
        <v>75</v>
      </c>
      <c r="C130" s="55">
        <f>SUM(C131:C133)</f>
        <v>3387737.26</v>
      </c>
      <c r="D130" s="60">
        <f>SUM(D131:D133)</f>
        <v>3895897.84527027</v>
      </c>
      <c r="E130" s="58"/>
    </row>
    <row r="131" spans="2:5" ht="18.75" x14ac:dyDescent="0.3">
      <c r="B131" s="57" t="s">
        <v>76</v>
      </c>
      <c r="C131" s="52">
        <v>206237.26</v>
      </c>
      <c r="D131" s="58">
        <f>E123*10</f>
        <v>237172.84527027022</v>
      </c>
      <c r="E131" s="58">
        <f>D131/10</f>
        <v>23717.284527027023</v>
      </c>
    </row>
    <row r="132" spans="2:5" ht="18.75" x14ac:dyDescent="0.3">
      <c r="B132" s="57" t="s">
        <v>77</v>
      </c>
      <c r="C132" s="52">
        <v>2525000</v>
      </c>
      <c r="D132" s="58">
        <f t="shared" ref="D132:D133" si="7">C132*$H$114</f>
        <v>2903750</v>
      </c>
      <c r="E132" s="58">
        <f>D132/50</f>
        <v>58075</v>
      </c>
    </row>
    <row r="133" spans="2:5" ht="19.5" thickBot="1" x14ac:dyDescent="0.35">
      <c r="B133" s="57" t="s">
        <v>78</v>
      </c>
      <c r="C133" s="52">
        <v>656500</v>
      </c>
      <c r="D133" s="58">
        <f t="shared" si="7"/>
        <v>754974.99999999988</v>
      </c>
      <c r="E133" s="58">
        <f>D133/10</f>
        <v>75497.499999999985</v>
      </c>
    </row>
    <row r="134" spans="2:5" ht="19.5" thickBot="1" x14ac:dyDescent="0.3">
      <c r="B134" s="70" t="s">
        <v>79</v>
      </c>
      <c r="C134" s="65">
        <f>SUM(C135,C138,C141,C144,C147,C150,C153,C156,C161,C165,C168,C171,C174)</f>
        <v>34595431.459999993</v>
      </c>
      <c r="D134" s="69">
        <f>SUM(D135,D138,D141,D144,D147,D150,D153,D156,D161,D165,D168,D171,D174)</f>
        <v>30960182.109835133</v>
      </c>
      <c r="E134" s="67"/>
    </row>
    <row r="135" spans="2:5" ht="18.75" x14ac:dyDescent="0.25">
      <c r="B135" s="56" t="s">
        <v>81</v>
      </c>
      <c r="C135" s="55">
        <f>SUM(C136:C137)</f>
        <v>393100.84</v>
      </c>
      <c r="D135" s="60">
        <f>SUM(D136:D137)</f>
        <v>337291.71400000004</v>
      </c>
      <c r="E135" s="58"/>
    </row>
    <row r="136" spans="2:5" ht="18.75" x14ac:dyDescent="0.3">
      <c r="B136" s="57" t="s">
        <v>83</v>
      </c>
      <c r="C136" s="52">
        <v>78900</v>
      </c>
      <c r="D136" s="58">
        <f t="shared" ref="D136:D139" si="8">C136*$F$114</f>
        <v>70221</v>
      </c>
      <c r="E136" s="58"/>
    </row>
    <row r="137" spans="2:5" ht="18.75" x14ac:dyDescent="0.3">
      <c r="B137" s="62" t="s">
        <v>84</v>
      </c>
      <c r="C137" s="52">
        <v>314200.84000000003</v>
      </c>
      <c r="D137" s="58">
        <f>C137*$D$114</f>
        <v>267070.71400000004</v>
      </c>
      <c r="E137" s="58">
        <f>D137/2/1.052</f>
        <v>126934.75000000001</v>
      </c>
    </row>
    <row r="138" spans="2:5" ht="18.75" x14ac:dyDescent="0.25">
      <c r="B138" s="56" t="s">
        <v>82</v>
      </c>
      <c r="C138" s="55">
        <f>SUM(C139:C140)</f>
        <v>2564931.7000000002</v>
      </c>
      <c r="D138" s="60">
        <f>SUM(D139,D140)</f>
        <v>2207381.0114000002</v>
      </c>
      <c r="E138" s="58"/>
    </row>
    <row r="139" spans="2:5" ht="18.75" x14ac:dyDescent="0.3">
      <c r="B139" s="57" t="s">
        <v>87</v>
      </c>
      <c r="C139" s="52">
        <v>679726.66</v>
      </c>
      <c r="D139" s="58">
        <f t="shared" si="8"/>
        <v>604956.72740000009</v>
      </c>
      <c r="E139" s="58">
        <f>D139/6/1.052</f>
        <v>95842.320564005087</v>
      </c>
    </row>
    <row r="140" spans="2:5" ht="18.75" x14ac:dyDescent="0.3">
      <c r="B140" s="62" t="s">
        <v>88</v>
      </c>
      <c r="C140" s="52">
        <v>1885205.04</v>
      </c>
      <c r="D140" s="58">
        <f>C140*$D$114</f>
        <v>1602424.284</v>
      </c>
      <c r="E140" s="58">
        <f>D140/12/1.052</f>
        <v>126934.74999999999</v>
      </c>
    </row>
    <row r="141" spans="2:5" ht="18.75" x14ac:dyDescent="0.25">
      <c r="B141" s="56" t="s">
        <v>85</v>
      </c>
      <c r="C141" s="55">
        <f>SUM(C142:C143)</f>
        <v>8694645.1999999993</v>
      </c>
      <c r="D141" s="60">
        <f>SUM(D142:D143)</f>
        <v>7632461.6584000001</v>
      </c>
      <c r="E141" s="58"/>
    </row>
    <row r="142" spans="2:5" ht="18.75" x14ac:dyDescent="0.3">
      <c r="B142" s="57" t="s">
        <v>89</v>
      </c>
      <c r="C142" s="52">
        <v>6050330.96</v>
      </c>
      <c r="D142" s="58">
        <f>C142*$F$114</f>
        <v>5384794.5543999998</v>
      </c>
      <c r="E142" s="58">
        <f>D142/4</f>
        <v>1346198.6385999999</v>
      </c>
    </row>
    <row r="143" spans="2:5" ht="18.75" x14ac:dyDescent="0.3">
      <c r="B143" s="62" t="s">
        <v>90</v>
      </c>
      <c r="C143" s="52">
        <v>2644314.2400000002</v>
      </c>
      <c r="D143" s="58">
        <f>C143*$D$114</f>
        <v>2247667.1040000003</v>
      </c>
      <c r="E143" s="58">
        <f>D143/16/1.052/1.052</f>
        <v>126934.74858679467</v>
      </c>
    </row>
    <row r="144" spans="2:5" ht="18.75" x14ac:dyDescent="0.25">
      <c r="B144" s="56" t="s">
        <v>86</v>
      </c>
      <c r="C144" s="55">
        <f>SUM(C145:C146)</f>
        <v>4950453.2</v>
      </c>
      <c r="D144" s="60">
        <f>SUM(D145:D146)</f>
        <v>4300130.7784000002</v>
      </c>
      <c r="E144" s="58"/>
    </row>
    <row r="145" spans="2:5" ht="18.75" x14ac:dyDescent="0.3">
      <c r="B145" s="57" t="s">
        <v>92</v>
      </c>
      <c r="C145" s="52">
        <v>2306138.96</v>
      </c>
      <c r="D145" s="58">
        <f>C145*$F$114</f>
        <v>2052463.6743999999</v>
      </c>
      <c r="E145" s="58">
        <f>D145/4</f>
        <v>513115.91859999998</v>
      </c>
    </row>
    <row r="146" spans="2:5" ht="18.75" x14ac:dyDescent="0.3">
      <c r="B146" s="62" t="s">
        <v>93</v>
      </c>
      <c r="C146" s="52">
        <v>2644314.2400000002</v>
      </c>
      <c r="D146" s="58">
        <f>C146*$D$114</f>
        <v>2247667.1040000003</v>
      </c>
      <c r="E146" s="58">
        <f>D146/16/1.052/1.052</f>
        <v>126934.74858679467</v>
      </c>
    </row>
    <row r="147" spans="2:5" ht="18.75" x14ac:dyDescent="0.25">
      <c r="B147" s="56" t="s">
        <v>91</v>
      </c>
      <c r="C147" s="55">
        <f>SUM(C148:C149)</f>
        <v>1331436.04</v>
      </c>
      <c r="D147" s="60">
        <f>SUM(D148:D149)</f>
        <v>1158534.9332000001</v>
      </c>
      <c r="E147" s="58"/>
    </row>
    <row r="148" spans="2:5" ht="18.75" x14ac:dyDescent="0.3">
      <c r="B148" s="57" t="s">
        <v>95</v>
      </c>
      <c r="C148" s="52">
        <v>670357.48</v>
      </c>
      <c r="D148" s="58">
        <f>C148*$F$114</f>
        <v>596618.15720000002</v>
      </c>
      <c r="E148" s="58">
        <f>D148/2</f>
        <v>298309.07860000001</v>
      </c>
    </row>
    <row r="149" spans="2:5" ht="18.75" x14ac:dyDescent="0.3">
      <c r="B149" s="62" t="s">
        <v>96</v>
      </c>
      <c r="C149" s="52">
        <v>661078.56000000006</v>
      </c>
      <c r="D149" s="58">
        <f>C149*$D$114</f>
        <v>561916.77600000007</v>
      </c>
      <c r="E149" s="58">
        <f>D149/4/1.052/1.052</f>
        <v>126934.74858679467</v>
      </c>
    </row>
    <row r="150" spans="2:5" ht="18.75" x14ac:dyDescent="0.25">
      <c r="B150" s="56" t="s">
        <v>94</v>
      </c>
      <c r="C150" s="55">
        <f>SUM(C151:C152)</f>
        <v>573551.71</v>
      </c>
      <c r="D150" s="60">
        <f>SUM(D151:D152)</f>
        <v>497239.45070000004</v>
      </c>
      <c r="E150" s="58"/>
    </row>
    <row r="151" spans="2:5" ht="18.75" x14ac:dyDescent="0.3">
      <c r="B151" s="57" t="s">
        <v>97</v>
      </c>
      <c r="C151" s="52">
        <v>243012.43</v>
      </c>
      <c r="D151" s="58">
        <f>C151*$F$114</f>
        <v>216281.06270000001</v>
      </c>
      <c r="E151" s="58">
        <f>D151/1</f>
        <v>216281.06270000001</v>
      </c>
    </row>
    <row r="152" spans="2:5" ht="18.75" x14ac:dyDescent="0.3">
      <c r="B152" s="62" t="s">
        <v>98</v>
      </c>
      <c r="C152" s="52">
        <v>330539.28000000003</v>
      </c>
      <c r="D152" s="58">
        <f>C152*$D$114</f>
        <v>280958.38800000004</v>
      </c>
      <c r="E152" s="58">
        <f>D152/2/1.052/1.052</f>
        <v>126934.74858679467</v>
      </c>
    </row>
    <row r="153" spans="2:5" ht="18.75" x14ac:dyDescent="0.25">
      <c r="B153" s="56" t="s">
        <v>99</v>
      </c>
      <c r="C153" s="55">
        <f>SUM(C154:C155)</f>
        <v>573551.71</v>
      </c>
      <c r="D153" s="60">
        <f>SUM(D154:D155)</f>
        <v>497239.45070000004</v>
      </c>
      <c r="E153" s="58"/>
    </row>
    <row r="154" spans="2:5" ht="18.75" x14ac:dyDescent="0.3">
      <c r="B154" s="57" t="s">
        <v>100</v>
      </c>
      <c r="C154" s="52">
        <v>243012.43</v>
      </c>
      <c r="D154" s="58">
        <f>C154*$F$114</f>
        <v>216281.06270000001</v>
      </c>
      <c r="E154" s="58">
        <f>D154/1</f>
        <v>216281.06270000001</v>
      </c>
    </row>
    <row r="155" spans="2:5" ht="18.75" x14ac:dyDescent="0.3">
      <c r="B155" s="62" t="s">
        <v>101</v>
      </c>
      <c r="C155" s="52">
        <v>330539.28000000003</v>
      </c>
      <c r="D155" s="58">
        <f>C155*$D$114</f>
        <v>280958.38800000004</v>
      </c>
      <c r="E155" s="58">
        <f>D155/2/1.052/1.052</f>
        <v>126934.74858679467</v>
      </c>
    </row>
    <row r="156" spans="2:5" ht="18.75" x14ac:dyDescent="0.25">
      <c r="B156" s="56" t="s">
        <v>102</v>
      </c>
      <c r="C156" s="55">
        <f>SUM(C157:C160)</f>
        <v>1930617.36</v>
      </c>
      <c r="D156" s="60">
        <f>SUM(D157:D160)</f>
        <v>2043745.5189999999</v>
      </c>
      <c r="E156" s="58"/>
    </row>
    <row r="157" spans="2:5" ht="18.75" x14ac:dyDescent="0.3">
      <c r="B157" s="57" t="s">
        <v>104</v>
      </c>
      <c r="C157" s="52">
        <v>1438715.2</v>
      </c>
      <c r="D157" s="58">
        <f>C157*1.1</f>
        <v>1582586.72</v>
      </c>
      <c r="E157" s="58"/>
    </row>
    <row r="158" spans="2:5" ht="18.75" x14ac:dyDescent="0.3">
      <c r="B158" s="57" t="s">
        <v>105</v>
      </c>
      <c r="C158" s="52">
        <v>107338.02</v>
      </c>
      <c r="D158" s="58">
        <f>C158*1.1</f>
        <v>118071.82200000001</v>
      </c>
      <c r="E158" s="58"/>
    </row>
    <row r="159" spans="2:5" ht="18.75" x14ac:dyDescent="0.3">
      <c r="B159" s="57" t="s">
        <v>106</v>
      </c>
      <c r="C159" s="52">
        <v>54024.86</v>
      </c>
      <c r="D159" s="58">
        <f t="shared" ref="D159" si="9">C159*$H$114</f>
        <v>62128.588999999993</v>
      </c>
      <c r="E159" s="58">
        <f>D159/2</f>
        <v>31064.294499999996</v>
      </c>
    </row>
    <row r="160" spans="2:5" ht="18.75" x14ac:dyDescent="0.3">
      <c r="B160" s="62" t="s">
        <v>107</v>
      </c>
      <c r="C160" s="52">
        <v>330539.28000000003</v>
      </c>
      <c r="D160" s="58">
        <f>C160*$D$114</f>
        <v>280958.38800000004</v>
      </c>
      <c r="E160" s="58">
        <f>D160/2/1.052/1.052</f>
        <v>126934.74858679467</v>
      </c>
    </row>
    <row r="161" spans="2:5" ht="18.75" x14ac:dyDescent="0.25">
      <c r="B161" s="56" t="s">
        <v>103</v>
      </c>
      <c r="C161" s="55">
        <f>SUM(C162:C164)</f>
        <v>2671453.5</v>
      </c>
      <c r="D161" s="60">
        <f>SUM(D162:D164)</f>
        <v>2742194.8590000002</v>
      </c>
      <c r="E161" s="58"/>
    </row>
    <row r="162" spans="2:5" ht="18.75" x14ac:dyDescent="0.3">
      <c r="B162" s="57" t="s">
        <v>108</v>
      </c>
      <c r="C162" s="54">
        <v>2275383.42</v>
      </c>
      <c r="D162" s="58">
        <f>C162*1.05</f>
        <v>2389152.591</v>
      </c>
      <c r="E162" s="58"/>
    </row>
    <row r="163" spans="2:5" ht="18.75" x14ac:dyDescent="0.3">
      <c r="B163" s="57" t="s">
        <v>109</v>
      </c>
      <c r="C163" s="54">
        <v>65530.8</v>
      </c>
      <c r="D163" s="58">
        <f>C163*1.1</f>
        <v>72083.88</v>
      </c>
      <c r="E163" s="58"/>
    </row>
    <row r="164" spans="2:5" ht="18.75" x14ac:dyDescent="0.3">
      <c r="B164" s="62" t="s">
        <v>110</v>
      </c>
      <c r="C164" s="54">
        <v>330539.28000000003</v>
      </c>
      <c r="D164" s="58">
        <f>C164*$D$114</f>
        <v>280958.38800000004</v>
      </c>
      <c r="E164" s="58">
        <f>D164/2/1.052/1.052</f>
        <v>126934.74858679467</v>
      </c>
    </row>
    <row r="165" spans="2:5" ht="18.75" x14ac:dyDescent="0.25">
      <c r="B165" s="56" t="s">
        <v>111</v>
      </c>
      <c r="C165" s="55">
        <f>SUM(C166:C167)</f>
        <v>1349154.06</v>
      </c>
      <c r="D165" s="60">
        <f>SUM(D166:D167)</f>
        <v>1161082.3998</v>
      </c>
      <c r="E165" s="58"/>
    </row>
    <row r="166" spans="2:5" ht="18.75" x14ac:dyDescent="0.25">
      <c r="B166" s="57" t="s">
        <v>115</v>
      </c>
      <c r="C166" s="55">
        <v>357536.22</v>
      </c>
      <c r="D166" s="58">
        <f>C166*$F$114</f>
        <v>318207.23579999997</v>
      </c>
      <c r="E166" s="58">
        <f>D166/3/1.052/1.052</f>
        <v>95842.319716925194</v>
      </c>
    </row>
    <row r="167" spans="2:5" ht="18.75" x14ac:dyDescent="0.25">
      <c r="B167" s="62" t="s">
        <v>116</v>
      </c>
      <c r="C167" s="55">
        <v>991617.84</v>
      </c>
      <c r="D167" s="58">
        <f>C167*$D$114</f>
        <v>842875.16399999999</v>
      </c>
      <c r="E167" s="58">
        <f>D167/6/1.052/1.052</f>
        <v>126934.74858679464</v>
      </c>
    </row>
    <row r="168" spans="2:5" ht="18.75" x14ac:dyDescent="0.25">
      <c r="B168" s="56" t="s">
        <v>112</v>
      </c>
      <c r="C168" s="55">
        <f>SUM(C169:C170)</f>
        <v>1267265.33</v>
      </c>
      <c r="D168" s="60">
        <f>SUM(D169:D170)</f>
        <v>1264520.7405000001</v>
      </c>
      <c r="E168" s="58"/>
    </row>
    <row r="169" spans="2:5" ht="18.75" x14ac:dyDescent="0.25">
      <c r="B169" s="57" t="s">
        <v>117</v>
      </c>
      <c r="C169" s="55">
        <v>936726.05</v>
      </c>
      <c r="D169" s="58">
        <f t="shared" ref="D169" si="10">C169*1.05</f>
        <v>983562.35250000004</v>
      </c>
      <c r="E169" s="58"/>
    </row>
    <row r="170" spans="2:5" ht="18.75" x14ac:dyDescent="0.25">
      <c r="B170" s="62" t="s">
        <v>118</v>
      </c>
      <c r="C170" s="55">
        <v>330539.28000000003</v>
      </c>
      <c r="D170" s="58">
        <f>C170*$D$114</f>
        <v>280958.38800000004</v>
      </c>
      <c r="E170" s="58">
        <f>D170/2/1.052/1.052</f>
        <v>126934.74858679467</v>
      </c>
    </row>
    <row r="171" spans="2:5" ht="18.75" x14ac:dyDescent="0.25">
      <c r="B171" s="56" t="s">
        <v>113</v>
      </c>
      <c r="C171" s="55">
        <f>SUM(C172:C173)</f>
        <v>4163529.81</v>
      </c>
      <c r="D171" s="60">
        <f>SUM(D172:D173)</f>
        <v>3606379.7447351348</v>
      </c>
      <c r="E171" s="58"/>
    </row>
    <row r="172" spans="2:5" ht="18.75" x14ac:dyDescent="0.25">
      <c r="B172" s="57" t="s">
        <v>119</v>
      </c>
      <c r="C172" s="55">
        <v>1684485.21</v>
      </c>
      <c r="D172" s="58">
        <f>$E$121*6*1.052</f>
        <v>1499191.8347351346</v>
      </c>
      <c r="E172" s="58">
        <f>D172/6/1.052</f>
        <v>237514.5492292672</v>
      </c>
    </row>
    <row r="173" spans="2:5" ht="18.75" x14ac:dyDescent="0.25">
      <c r="B173" s="62" t="s">
        <v>120</v>
      </c>
      <c r="C173" s="55">
        <v>2479044.6</v>
      </c>
      <c r="D173" s="58">
        <f t="shared" ref="D173:D174" si="11">C173*$D$114</f>
        <v>2107187.91</v>
      </c>
      <c r="E173" s="58">
        <f>D173/15/1.052/1.052</f>
        <v>126934.74858679467</v>
      </c>
    </row>
    <row r="174" spans="2:5" ht="19.5" thickBot="1" x14ac:dyDescent="0.3">
      <c r="B174" s="62" t="s">
        <v>114</v>
      </c>
      <c r="C174" s="55">
        <v>4131741</v>
      </c>
      <c r="D174" s="58">
        <f t="shared" si="11"/>
        <v>3511979.85</v>
      </c>
      <c r="E174" s="58">
        <f>D174/25/1.052/1.052</f>
        <v>126934.74858679467</v>
      </c>
    </row>
    <row r="175" spans="2:5" ht="19.5" thickBot="1" x14ac:dyDescent="0.3">
      <c r="B175" s="64" t="s">
        <v>80</v>
      </c>
      <c r="C175" s="65">
        <f>SUM(C176,C179)</f>
        <v>9322338.8399999999</v>
      </c>
      <c r="D175" s="69">
        <f>SUM(D176,D179)</f>
        <v>7923988.0140000004</v>
      </c>
      <c r="E175" s="67"/>
    </row>
    <row r="176" spans="2:5" ht="18.75" x14ac:dyDescent="0.25">
      <c r="B176" s="56" t="s">
        <v>121</v>
      </c>
      <c r="C176" s="55">
        <f>SUM(C177:C178)</f>
        <v>3578747.54</v>
      </c>
      <c r="D176" s="60">
        <f>SUM(D177:D178)</f>
        <v>3041935.409</v>
      </c>
      <c r="E176" s="58"/>
    </row>
    <row r="177" spans="2:5" ht="18.75" x14ac:dyDescent="0.25">
      <c r="B177" s="62" t="s">
        <v>169</v>
      </c>
      <c r="C177" s="55">
        <v>1099702.94</v>
      </c>
      <c r="D177" s="58">
        <f t="shared" ref="D177:D178" si="12">C177*$D$114</f>
        <v>934747.49899999995</v>
      </c>
      <c r="E177" s="58">
        <f>D177/7/1.052</f>
        <v>126934.74999999999</v>
      </c>
    </row>
    <row r="178" spans="2:5" ht="18.75" x14ac:dyDescent="0.25">
      <c r="B178" s="62" t="s">
        <v>170</v>
      </c>
      <c r="C178" s="55">
        <v>2479044.6</v>
      </c>
      <c r="D178" s="58">
        <f t="shared" si="12"/>
        <v>2107187.91</v>
      </c>
      <c r="E178" s="58">
        <f>D178/15/1.052/1.052</f>
        <v>126934.74858679467</v>
      </c>
    </row>
    <row r="179" spans="2:5" ht="18.75" x14ac:dyDescent="0.25">
      <c r="B179" s="56" t="s">
        <v>122</v>
      </c>
      <c r="C179" s="55">
        <f>SUM(C180,C181)</f>
        <v>5743591.2999999998</v>
      </c>
      <c r="D179" s="60">
        <f>SUM(D180:D181)</f>
        <v>4882052.6050000004</v>
      </c>
      <c r="E179" s="58"/>
    </row>
    <row r="180" spans="2:5" ht="18.75" x14ac:dyDescent="0.25">
      <c r="B180" s="62" t="s">
        <v>163</v>
      </c>
      <c r="C180" s="55">
        <v>785502.1</v>
      </c>
      <c r="D180" s="58">
        <f t="shared" ref="D180:D182" si="13">C180*$D$114</f>
        <v>667676.78499999992</v>
      </c>
      <c r="E180" s="58">
        <f>D180/5/1.052</f>
        <v>126934.74999999999</v>
      </c>
    </row>
    <row r="181" spans="2:5" ht="19.5" thickBot="1" x14ac:dyDescent="0.3">
      <c r="B181" s="62" t="s">
        <v>164</v>
      </c>
      <c r="C181" s="55">
        <v>4958089.2</v>
      </c>
      <c r="D181" s="58">
        <f t="shared" si="13"/>
        <v>4214375.82</v>
      </c>
      <c r="E181" s="58">
        <f>D181/30/1.052/1.052</f>
        <v>126934.74858679467</v>
      </c>
    </row>
    <row r="182" spans="2:5" ht="19.5" thickBot="1" x14ac:dyDescent="0.3">
      <c r="B182" s="68" t="s">
        <v>123</v>
      </c>
      <c r="C182" s="65">
        <v>1652696.4</v>
      </c>
      <c r="D182" s="66">
        <f t="shared" si="13"/>
        <v>1404791.94</v>
      </c>
      <c r="E182" s="67">
        <f>D182/10/1.052/1.052</f>
        <v>126934.74858679464</v>
      </c>
    </row>
    <row r="183" spans="2:5" ht="19.5" thickBot="1" x14ac:dyDescent="0.3">
      <c r="B183" s="64" t="s">
        <v>124</v>
      </c>
      <c r="C183" s="65">
        <f>SUM(C184,C185,C190,C193,C196)</f>
        <v>99913369.200000018</v>
      </c>
      <c r="D183" s="66">
        <f>SUM(D184,D185,D190,D193,D196)</f>
        <v>87624688.614014834</v>
      </c>
      <c r="E183" s="67"/>
    </row>
    <row r="184" spans="2:5" ht="18.75" x14ac:dyDescent="0.25">
      <c r="B184" s="62" t="s">
        <v>125</v>
      </c>
      <c r="C184" s="55">
        <v>991617.84</v>
      </c>
      <c r="D184" s="58">
        <f>C184*$D$114</f>
        <v>842875.16399999999</v>
      </c>
      <c r="E184" s="58">
        <f>D184/6/1.052/1.052</f>
        <v>126934.74858679464</v>
      </c>
    </row>
    <row r="185" spans="2:5" ht="18.75" x14ac:dyDescent="0.25">
      <c r="B185" s="56" t="s">
        <v>126</v>
      </c>
      <c r="C185" s="55">
        <f>SUM(C186:C189)</f>
        <v>88875819.470000014</v>
      </c>
      <c r="D185" s="60">
        <f>SUM(D186,D189,D187,D188)</f>
        <v>77522066.82151483</v>
      </c>
      <c r="E185" s="58"/>
    </row>
    <row r="186" spans="2:5" ht="18.75" x14ac:dyDescent="0.25">
      <c r="B186" s="57" t="s">
        <v>129</v>
      </c>
      <c r="C186" s="55">
        <v>55192758.770000003</v>
      </c>
      <c r="D186" s="61">
        <f>C186*$F$114</f>
        <v>49121555.305300005</v>
      </c>
      <c r="E186" s="58">
        <f>D186/82</f>
        <v>599043.35738170741</v>
      </c>
    </row>
    <row r="187" spans="2:5" ht="18.75" x14ac:dyDescent="0.25">
      <c r="B187" s="57" t="s">
        <v>130</v>
      </c>
      <c r="C187" s="55">
        <v>26484821.43</v>
      </c>
      <c r="D187" s="58">
        <f>$E$121*82*1.052*1.052</f>
        <v>21554380.738598611</v>
      </c>
      <c r="E187" s="58">
        <f>D187/82/1.052/1.052</f>
        <v>237514.5492292672</v>
      </c>
    </row>
    <row r="188" spans="2:5" ht="18.75" x14ac:dyDescent="0.25">
      <c r="B188" s="57" t="s">
        <v>131</v>
      </c>
      <c r="C188" s="55">
        <v>5507093.7599999998</v>
      </c>
      <c r="D188" s="61">
        <f>E122*82*1.052</f>
        <v>4901313.4464000007</v>
      </c>
      <c r="E188" s="58">
        <f>D188/82/1.052</f>
        <v>56817.600000000006</v>
      </c>
    </row>
    <row r="189" spans="2:5" ht="18.75" x14ac:dyDescent="0.25">
      <c r="B189" s="57" t="s">
        <v>132</v>
      </c>
      <c r="C189" s="55">
        <v>1691145.51</v>
      </c>
      <c r="D189" s="61">
        <f>$E$123*82</f>
        <v>1944817.3312162159</v>
      </c>
      <c r="E189" s="58">
        <f>D189/82</f>
        <v>23717.284527027023</v>
      </c>
    </row>
    <row r="190" spans="2:5" ht="18.75" x14ac:dyDescent="0.25">
      <c r="B190" s="56" t="s">
        <v>127</v>
      </c>
      <c r="C190" s="55">
        <f>SUM(C191:C192)</f>
        <v>1706690.2799999998</v>
      </c>
      <c r="D190" s="60">
        <f>SUM(D191:D192)</f>
        <v>1479289.6355999999</v>
      </c>
      <c r="E190" s="58"/>
    </row>
    <row r="191" spans="2:5" ht="18.75" x14ac:dyDescent="0.25">
      <c r="B191" s="57" t="s">
        <v>133</v>
      </c>
      <c r="C191" s="55">
        <v>715072.44</v>
      </c>
      <c r="D191" s="61">
        <f>C191*$F$114</f>
        <v>636414.47159999993</v>
      </c>
      <c r="E191" s="58">
        <f>D191/6/1.052/1.052</f>
        <v>95842.319716925194</v>
      </c>
    </row>
    <row r="192" spans="2:5" ht="18.75" x14ac:dyDescent="0.25">
      <c r="B192" s="62" t="s">
        <v>134</v>
      </c>
      <c r="C192" s="55">
        <v>991617.84</v>
      </c>
      <c r="D192" s="58">
        <f>C192*$D$114</f>
        <v>842875.16399999999</v>
      </c>
      <c r="E192" s="58">
        <f>D192/6/1.052/1.052</f>
        <v>126934.74858679464</v>
      </c>
    </row>
    <row r="193" spans="2:7" ht="18.75" x14ac:dyDescent="0.25">
      <c r="B193" s="56" t="s">
        <v>128</v>
      </c>
      <c r="C193" s="55">
        <f>SUM(C194:C195)</f>
        <v>5688967.6099999994</v>
      </c>
      <c r="D193" s="60">
        <f>SUM(D194:D195)</f>
        <v>4930965.4608999994</v>
      </c>
      <c r="E193" s="58"/>
    </row>
    <row r="194" spans="2:7" ht="18.75" x14ac:dyDescent="0.25">
      <c r="B194" s="57" t="s">
        <v>135</v>
      </c>
      <c r="C194" s="55">
        <v>2383574.81</v>
      </c>
      <c r="D194" s="92">
        <f>C194*$F$114</f>
        <v>2121381.5808999999</v>
      </c>
      <c r="E194" s="58">
        <f>D194/20/1.052/1.052</f>
        <v>95842.320119020063</v>
      </c>
    </row>
    <row r="195" spans="2:7" ht="18.75" x14ac:dyDescent="0.25">
      <c r="B195" s="62" t="s">
        <v>136</v>
      </c>
      <c r="C195" s="55">
        <v>3305392.8</v>
      </c>
      <c r="D195" s="58">
        <f>C195*$D$114</f>
        <v>2809583.88</v>
      </c>
      <c r="E195" s="58">
        <f>D195/20/1.052/1.052</f>
        <v>126934.74858679464</v>
      </c>
    </row>
    <row r="196" spans="2:7" ht="18.75" x14ac:dyDescent="0.25">
      <c r="B196" s="56" t="s">
        <v>137</v>
      </c>
      <c r="C196" s="55">
        <f>SUM(C197:C198)</f>
        <v>2650274</v>
      </c>
      <c r="D196" s="60">
        <f>SUM(D197:D198)</f>
        <v>2849491.5319999997</v>
      </c>
      <c r="E196" s="58"/>
    </row>
    <row r="197" spans="2:7" ht="18.75" x14ac:dyDescent="0.25">
      <c r="B197" s="62" t="s">
        <v>138</v>
      </c>
      <c r="C197" s="55">
        <v>661078.56000000006</v>
      </c>
      <c r="D197" s="58">
        <f>C197*$D$114</f>
        <v>561916.77600000007</v>
      </c>
      <c r="E197" s="58">
        <f>D197/4/1.052/1.052</f>
        <v>126934.74858679467</v>
      </c>
    </row>
    <row r="198" spans="2:7" ht="19.5" thickBot="1" x14ac:dyDescent="0.3">
      <c r="B198" s="57" t="s">
        <v>139</v>
      </c>
      <c r="C198" s="55">
        <v>1989195.44</v>
      </c>
      <c r="D198" s="58">
        <f t="shared" ref="D198" si="14">C198*$H$114</f>
        <v>2287574.7559999996</v>
      </c>
      <c r="E198" s="58">
        <f>D198/70/1.052</f>
        <v>31064.295980445404</v>
      </c>
    </row>
    <row r="199" spans="2:7" ht="19.5" thickBot="1" x14ac:dyDescent="0.3">
      <c r="B199" s="72">
        <v>6</v>
      </c>
      <c r="C199" s="65">
        <f>SUM(C200:C203)</f>
        <v>11130569.57</v>
      </c>
      <c r="D199" s="66">
        <f>SUM(D200:D203)</f>
        <v>9903003.0923937671</v>
      </c>
      <c r="E199" s="66"/>
      <c r="F199" s="51"/>
      <c r="G199" s="2"/>
    </row>
    <row r="200" spans="2:7" ht="18.75" x14ac:dyDescent="0.25">
      <c r="B200" s="62" t="s">
        <v>140</v>
      </c>
      <c r="C200" s="55">
        <v>661078.56000000006</v>
      </c>
      <c r="D200" s="58">
        <f>C200*$D$114</f>
        <v>561916.77600000007</v>
      </c>
      <c r="E200" s="58">
        <f>D200/4/1.052/1.052</f>
        <v>126934.74858679467</v>
      </c>
    </row>
    <row r="201" spans="2:7" ht="18.75" x14ac:dyDescent="0.25">
      <c r="B201" s="57" t="s">
        <v>141</v>
      </c>
      <c r="C201" s="55">
        <v>438000</v>
      </c>
      <c r="D201" s="58">
        <f>C201*H114</f>
        <v>503699.99999999994</v>
      </c>
      <c r="E201" s="58"/>
    </row>
    <row r="202" spans="2:7" ht="18.75" x14ac:dyDescent="0.25">
      <c r="B202" s="62" t="s">
        <v>142</v>
      </c>
      <c r="C202" s="55">
        <v>1652696.4</v>
      </c>
      <c r="D202" s="58">
        <f>C202*$D$114</f>
        <v>1404791.94</v>
      </c>
      <c r="E202" s="58">
        <f>D202/10/1.052/1.052</f>
        <v>126934.74858679464</v>
      </c>
    </row>
    <row r="203" spans="2:7" ht="18.75" x14ac:dyDescent="0.25">
      <c r="B203" s="56" t="s">
        <v>143</v>
      </c>
      <c r="C203" s="55">
        <f>SUM(C204:C209)</f>
        <v>8378794.6099999994</v>
      </c>
      <c r="D203" s="58">
        <f>SUM(D204:D209)</f>
        <v>7432594.376393768</v>
      </c>
      <c r="E203" s="58"/>
    </row>
    <row r="204" spans="2:7" ht="18.75" x14ac:dyDescent="0.25">
      <c r="B204" s="62" t="s">
        <v>144</v>
      </c>
      <c r="C204" s="55">
        <v>1322157.1200000001</v>
      </c>
      <c r="D204" s="58">
        <f>C204*$D$114</f>
        <v>1123833.5520000001</v>
      </c>
      <c r="E204" s="58">
        <f>D204/8/1.052/1.052</f>
        <v>126934.74858679467</v>
      </c>
    </row>
    <row r="205" spans="2:7" ht="18.75" x14ac:dyDescent="0.25">
      <c r="B205" s="57" t="s">
        <v>145</v>
      </c>
      <c r="C205" s="55">
        <v>4042786.18</v>
      </c>
      <c r="D205" s="61">
        <f>E186*6</f>
        <v>3594260.1442902442</v>
      </c>
      <c r="E205" s="58">
        <f>D205/6</f>
        <v>599043.35738170741</v>
      </c>
    </row>
    <row r="206" spans="2:7" ht="18.75" x14ac:dyDescent="0.25">
      <c r="B206" s="57" t="s">
        <v>146</v>
      </c>
      <c r="C206" s="55">
        <v>1772078.44</v>
      </c>
      <c r="D206" s="58">
        <f>$E$121*6*1.052*1.052</f>
        <v>1577149.8101413618</v>
      </c>
      <c r="E206" s="58">
        <f>D206/6/1.052/1.052</f>
        <v>237514.5492292672</v>
      </c>
    </row>
    <row r="207" spans="2:7" ht="18.75" x14ac:dyDescent="0.25">
      <c r="B207" s="57" t="s">
        <v>147</v>
      </c>
      <c r="C207" s="55">
        <v>402958.08000000002</v>
      </c>
      <c r="D207" s="58">
        <f>E122*1.052*6</f>
        <v>358632.69120000006</v>
      </c>
      <c r="E207" s="58">
        <f>D207/1.052/6</f>
        <v>56817.600000000006</v>
      </c>
    </row>
    <row r="208" spans="2:7" ht="18.75" x14ac:dyDescent="0.25">
      <c r="B208" s="57" t="s">
        <v>148</v>
      </c>
      <c r="C208" s="55">
        <v>123742.35</v>
      </c>
      <c r="D208" s="58">
        <f>$E$123*6</f>
        <v>142303.70716216214</v>
      </c>
      <c r="E208" s="58">
        <f>D208/6</f>
        <v>23717.284527027023</v>
      </c>
    </row>
    <row r="209" spans="2:5" ht="19.5" thickBot="1" x14ac:dyDescent="0.3">
      <c r="B209" s="57" t="s">
        <v>149</v>
      </c>
      <c r="C209" s="55">
        <v>715072.44</v>
      </c>
      <c r="D209" s="61">
        <f>C209*$F$114</f>
        <v>636414.47159999993</v>
      </c>
      <c r="E209" s="58">
        <f>D209/6/1.052/1.052</f>
        <v>95842.319716925194</v>
      </c>
    </row>
    <row r="210" spans="2:5" ht="19.5" thickBot="1" x14ac:dyDescent="0.3">
      <c r="B210" s="64" t="s">
        <v>150</v>
      </c>
      <c r="C210" s="65">
        <f>SUM(C217,C211,C220)</f>
        <v>85675072.650000006</v>
      </c>
      <c r="D210" s="66">
        <f>SUM(D217,D211,D220)</f>
        <v>77021376.800321087</v>
      </c>
      <c r="E210" s="67"/>
    </row>
    <row r="211" spans="2:5" ht="18.75" x14ac:dyDescent="0.25">
      <c r="B211" s="56" t="s">
        <v>151</v>
      </c>
      <c r="C211" s="55">
        <f>SUM(C212:C216)</f>
        <v>81318108.370000005</v>
      </c>
      <c r="D211" s="58">
        <f>SUM(D212:D216)</f>
        <v>72692595.632721081</v>
      </c>
      <c r="E211" s="58"/>
    </row>
    <row r="212" spans="2:5" ht="18.75" x14ac:dyDescent="0.25">
      <c r="B212" s="57" t="s">
        <v>153</v>
      </c>
      <c r="C212" s="55">
        <v>51208624.899999999</v>
      </c>
      <c r="D212" s="61">
        <f>E186*76</f>
        <v>45527295.161009766</v>
      </c>
      <c r="E212" s="58">
        <f>D212/76</f>
        <v>599043.35738170741</v>
      </c>
    </row>
    <row r="213" spans="2:5" ht="18.75" x14ac:dyDescent="0.25">
      <c r="B213" s="57" t="s">
        <v>154</v>
      </c>
      <c r="C213" s="55">
        <v>22446326.879999999</v>
      </c>
      <c r="D213" s="58">
        <f>$E$121*76*1.052*1.052</f>
        <v>19977230.928457253</v>
      </c>
      <c r="E213" s="58">
        <f>D213/76/1.052/1.052</f>
        <v>237514.54922926726</v>
      </c>
    </row>
    <row r="214" spans="2:5" ht="18.75" x14ac:dyDescent="0.25">
      <c r="B214" s="57" t="s">
        <v>155</v>
      </c>
      <c r="C214" s="55">
        <v>5104135.5999999996</v>
      </c>
      <c r="D214" s="58">
        <f>E122*1.052*76</f>
        <v>4542680.7552000005</v>
      </c>
      <c r="E214" s="58">
        <f>D214/1.052/76</f>
        <v>56817.600000000006</v>
      </c>
    </row>
    <row r="215" spans="2:5" ht="18.75" x14ac:dyDescent="0.25">
      <c r="B215" s="57" t="s">
        <v>156</v>
      </c>
      <c r="C215" s="55">
        <v>1567403.15</v>
      </c>
      <c r="D215" s="58">
        <f>E123*76</f>
        <v>1802513.6240540538</v>
      </c>
      <c r="E215" s="58">
        <f>D215/76</f>
        <v>23717.284527027023</v>
      </c>
    </row>
    <row r="216" spans="2:5" ht="18.75" x14ac:dyDescent="0.25">
      <c r="B216" s="62" t="s">
        <v>157</v>
      </c>
      <c r="C216" s="55">
        <v>991617.84</v>
      </c>
      <c r="D216" s="58">
        <f>C216*$D$114</f>
        <v>842875.16399999999</v>
      </c>
      <c r="E216" s="58">
        <f>D216/6/1.052/1.052</f>
        <v>126934.74858679464</v>
      </c>
    </row>
    <row r="217" spans="2:5" ht="18.75" x14ac:dyDescent="0.25">
      <c r="B217" s="56" t="s">
        <v>152</v>
      </c>
      <c r="C217" s="55">
        <f>SUM(C218:C219)</f>
        <v>1706690.2799999998</v>
      </c>
      <c r="D217" s="58">
        <f>SUM(D218:D219)</f>
        <v>1479289.6355999999</v>
      </c>
      <c r="E217" s="58"/>
    </row>
    <row r="218" spans="2:5" ht="18.75" x14ac:dyDescent="0.25">
      <c r="B218" s="57" t="s">
        <v>158</v>
      </c>
      <c r="C218" s="55">
        <v>715072.44</v>
      </c>
      <c r="D218" s="61">
        <f>C218*$F$114</f>
        <v>636414.47159999993</v>
      </c>
      <c r="E218" s="58">
        <f>D218/6/1.052/1.052</f>
        <v>95842.319716925194</v>
      </c>
    </row>
    <row r="219" spans="2:5" ht="18.75" x14ac:dyDescent="0.25">
      <c r="B219" s="62" t="s">
        <v>159</v>
      </c>
      <c r="C219" s="55">
        <v>991617.84</v>
      </c>
      <c r="D219" s="58">
        <f>C219*$D$114</f>
        <v>842875.16399999999</v>
      </c>
      <c r="E219" s="58">
        <f>D219/6/1.052/1.052</f>
        <v>126934.74858679464</v>
      </c>
    </row>
    <row r="220" spans="2:5" ht="18.75" x14ac:dyDescent="0.25">
      <c r="B220" s="56" t="s">
        <v>160</v>
      </c>
      <c r="C220" s="55">
        <f>SUM(C221:C222)</f>
        <v>2650274</v>
      </c>
      <c r="D220" s="58">
        <f>SUM(D221:D222)</f>
        <v>2849491.5319999997</v>
      </c>
      <c r="E220" s="58"/>
    </row>
    <row r="221" spans="2:5" ht="18.75" x14ac:dyDescent="0.25">
      <c r="B221" s="62" t="s">
        <v>161</v>
      </c>
      <c r="C221" s="55">
        <v>661078.56000000006</v>
      </c>
      <c r="D221" s="58">
        <f>C221*$D$114</f>
        <v>561916.77600000007</v>
      </c>
      <c r="E221" s="58">
        <f>D221/4/1.052/1.052</f>
        <v>126934.74858679467</v>
      </c>
    </row>
    <row r="222" spans="2:5" ht="18.75" x14ac:dyDescent="0.25">
      <c r="B222" s="57" t="s">
        <v>162</v>
      </c>
      <c r="C222" s="55">
        <v>1989195.44</v>
      </c>
      <c r="D222" s="58">
        <f t="shared" ref="D222" si="15">C222*$H$114</f>
        <v>2287574.7559999996</v>
      </c>
      <c r="E222" s="58">
        <f>D222/70/1.052</f>
        <v>31064.295980445404</v>
      </c>
    </row>
    <row r="223" spans="2:5" x14ac:dyDescent="0.25">
      <c r="B223" s="53"/>
      <c r="E223" s="59"/>
    </row>
    <row r="224" spans="2:5" x14ac:dyDescent="0.25">
      <c r="B224" s="53"/>
      <c r="E224" s="59"/>
    </row>
    <row r="225" spans="2:2" x14ac:dyDescent="0.25">
      <c r="B225" s="53"/>
    </row>
    <row r="226" spans="2:2" x14ac:dyDescent="0.25">
      <c r="B226" s="53"/>
    </row>
    <row r="227" spans="2:2" x14ac:dyDescent="0.25">
      <c r="B227" s="53"/>
    </row>
    <row r="228" spans="2:2" x14ac:dyDescent="0.25">
      <c r="B228" s="53"/>
    </row>
    <row r="229" spans="2:2" x14ac:dyDescent="0.25">
      <c r="B229" s="53"/>
    </row>
    <row r="230" spans="2:2" x14ac:dyDescent="0.25">
      <c r="B230" s="53"/>
    </row>
    <row r="231" spans="2:2" x14ac:dyDescent="0.25">
      <c r="B231" s="53"/>
    </row>
    <row r="232" spans="2:2" x14ac:dyDescent="0.25">
      <c r="B232" s="53"/>
    </row>
    <row r="233" spans="2:2" x14ac:dyDescent="0.25">
      <c r="B233" s="53"/>
    </row>
    <row r="234" spans="2:2" x14ac:dyDescent="0.25">
      <c r="B234" s="53"/>
    </row>
    <row r="235" spans="2:2" x14ac:dyDescent="0.25">
      <c r="B235" s="53"/>
    </row>
    <row r="236" spans="2:2" x14ac:dyDescent="0.25">
      <c r="B236" s="53"/>
    </row>
    <row r="237" spans="2:2" x14ac:dyDescent="0.25">
      <c r="B237" s="53"/>
    </row>
    <row r="238" spans="2:2" x14ac:dyDescent="0.25">
      <c r="B238" s="53"/>
    </row>
    <row r="239" spans="2:2" x14ac:dyDescent="0.25">
      <c r="B239" s="53"/>
    </row>
    <row r="240" spans="2:2" x14ac:dyDescent="0.25">
      <c r="B240" s="53"/>
    </row>
    <row r="241" spans="2:2" x14ac:dyDescent="0.25">
      <c r="B241" s="53"/>
    </row>
    <row r="242" spans="2:2" x14ac:dyDescent="0.25">
      <c r="B242" s="53"/>
    </row>
    <row r="243" spans="2:2" x14ac:dyDescent="0.25">
      <c r="B243" s="53"/>
    </row>
    <row r="244" spans="2:2" x14ac:dyDescent="0.25">
      <c r="B244" s="53"/>
    </row>
    <row r="245" spans="2:2" x14ac:dyDescent="0.25">
      <c r="B245" s="53"/>
    </row>
    <row r="246" spans="2:2" x14ac:dyDescent="0.25">
      <c r="B246" s="53"/>
    </row>
    <row r="247" spans="2:2" x14ac:dyDescent="0.25">
      <c r="B247" s="53"/>
    </row>
    <row r="248" spans="2:2" x14ac:dyDescent="0.25">
      <c r="B248" s="53"/>
    </row>
    <row r="249" spans="2:2" x14ac:dyDescent="0.25">
      <c r="B249" s="53"/>
    </row>
    <row r="250" spans="2:2" x14ac:dyDescent="0.25">
      <c r="B250" s="53"/>
    </row>
    <row r="251" spans="2:2" x14ac:dyDescent="0.25">
      <c r="B251" s="53"/>
    </row>
    <row r="252" spans="2:2" x14ac:dyDescent="0.25">
      <c r="B252" s="53"/>
    </row>
    <row r="253" spans="2:2" x14ac:dyDescent="0.25">
      <c r="B253" s="53"/>
    </row>
    <row r="254" spans="2:2" x14ac:dyDescent="0.25">
      <c r="B254" s="53"/>
    </row>
    <row r="255" spans="2:2" x14ac:dyDescent="0.25">
      <c r="B255" s="53"/>
    </row>
    <row r="256" spans="2:2" x14ac:dyDescent="0.25">
      <c r="B256" s="53"/>
    </row>
    <row r="257" spans="2:2" x14ac:dyDescent="0.25">
      <c r="B257" s="53"/>
    </row>
    <row r="258" spans="2:2" x14ac:dyDescent="0.25">
      <c r="B258" s="53"/>
    </row>
    <row r="259" spans="2:2" x14ac:dyDescent="0.25">
      <c r="B259" s="53"/>
    </row>
    <row r="260" spans="2:2" x14ac:dyDescent="0.25">
      <c r="B260" s="53"/>
    </row>
    <row r="261" spans="2:2" x14ac:dyDescent="0.25">
      <c r="B261" s="53"/>
    </row>
    <row r="262" spans="2:2" x14ac:dyDescent="0.25">
      <c r="B262" s="53"/>
    </row>
    <row r="263" spans="2:2" x14ac:dyDescent="0.25">
      <c r="B263" s="53"/>
    </row>
    <row r="264" spans="2:2" x14ac:dyDescent="0.25">
      <c r="B264" s="53"/>
    </row>
  </sheetData>
  <mergeCells count="12">
    <mergeCell ref="A33:E33"/>
    <mergeCell ref="A39:D39"/>
    <mergeCell ref="A41:D41"/>
    <mergeCell ref="A48:C48"/>
    <mergeCell ref="C1:E1"/>
    <mergeCell ref="A3:H3"/>
    <mergeCell ref="A8:E8"/>
    <mergeCell ref="A10:A13"/>
    <mergeCell ref="A22:F22"/>
    <mergeCell ref="A16:G16"/>
    <mergeCell ref="A24:E24"/>
    <mergeCell ref="A31:D3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leonidromashkin</dc:creator>
  <cp:lastModifiedBy>leonidromashkin</cp:lastModifiedBy>
  <dcterms:created xsi:type="dcterms:W3CDTF">2020-04-30T17:40:58Z</dcterms:created>
  <dcterms:modified xsi:type="dcterms:W3CDTF">2020-05-10T20:45:45Z</dcterms:modified>
</cp:coreProperties>
</file>