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0" windowWidth="15330" windowHeight="12750" firstSheet="1" activeTab="5"/>
  </bookViews>
  <sheets>
    <sheet name="ВБП" sheetId="1" r:id="rId1"/>
    <sheet name="Заряд 3 - var T" sheetId="2" r:id="rId2"/>
    <sheet name="ВБП_Опыт" sheetId="6" r:id="rId3"/>
    <sheet name="Апроксиммация" sheetId="3" r:id="rId4"/>
    <sheet name="Скорость_опытная" sheetId="4" r:id="rId5"/>
    <sheet name="ВБП_цикл" sheetId="7" r:id="rId6"/>
  </sheets>
  <calcPr calcId="125725"/>
</workbook>
</file>

<file path=xl/calcChain.xml><?xml version="1.0" encoding="utf-8"?>
<calcChain xmlns="http://schemas.openxmlformats.org/spreadsheetml/2006/main">
  <c r="F4" i="7"/>
  <c r="C4"/>
  <c r="G25"/>
  <c r="J25"/>
  <c r="C25"/>
  <c r="E25" s="1"/>
  <c r="C24"/>
  <c r="C23"/>
  <c r="C22"/>
  <c r="C21"/>
  <c r="E21" s="1"/>
  <c r="C20"/>
  <c r="C19"/>
  <c r="C18"/>
  <c r="C17"/>
  <c r="E17" s="1"/>
  <c r="C16"/>
  <c r="C15"/>
  <c r="C14"/>
  <c r="C13"/>
  <c r="E13" s="1"/>
  <c r="C12"/>
  <c r="C11"/>
  <c r="C10"/>
  <c r="C9"/>
  <c r="C8"/>
  <c r="E8" s="1"/>
  <c r="C7"/>
  <c r="C6"/>
  <c r="C5"/>
  <c r="C26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62"/>
  <c r="E7"/>
  <c r="D23"/>
  <c r="F23" s="1"/>
  <c r="D19"/>
  <c r="F19" s="1"/>
  <c r="D15"/>
  <c r="F15" s="1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4"/>
  <c r="AD24"/>
  <c r="AD25"/>
  <c r="AD8"/>
  <c r="AD9"/>
  <c r="AD10"/>
  <c r="AD11"/>
  <c r="AD12"/>
  <c r="AD13"/>
  <c r="AD14"/>
  <c r="AD15"/>
  <c r="AD16"/>
  <c r="AD17"/>
  <c r="AD18"/>
  <c r="AD19"/>
  <c r="AD20"/>
  <c r="AD21"/>
  <c r="AD22"/>
  <c r="AD23"/>
  <c r="AD26"/>
  <c r="AD7"/>
  <c r="AD6"/>
  <c r="AD5"/>
  <c r="AD4"/>
  <c r="AA26"/>
  <c r="AB26" s="1"/>
  <c r="AA25"/>
  <c r="AA24"/>
  <c r="AB24" s="1"/>
  <c r="AA23"/>
  <c r="AA10"/>
  <c r="AA11"/>
  <c r="AA12"/>
  <c r="AA13"/>
  <c r="AA14"/>
  <c r="AA15"/>
  <c r="AA16"/>
  <c r="AA17"/>
  <c r="AA18"/>
  <c r="AA19"/>
  <c r="AA20"/>
  <c r="AA21"/>
  <c r="AA22"/>
  <c r="AA8"/>
  <c r="AA9"/>
  <c r="AA7"/>
  <c r="AA6"/>
  <c r="AB6" s="1"/>
  <c r="AA5"/>
  <c r="AA4"/>
  <c r="AB4" s="1"/>
  <c r="AK5" s="1"/>
  <c r="AJ26"/>
  <c r="AG26"/>
  <c r="AB25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5"/>
  <c r="R24"/>
  <c r="R25"/>
  <c r="R9"/>
  <c r="R10"/>
  <c r="R11"/>
  <c r="R12"/>
  <c r="R13"/>
  <c r="R14"/>
  <c r="R15"/>
  <c r="R16"/>
  <c r="R17"/>
  <c r="R18"/>
  <c r="R19"/>
  <c r="R20"/>
  <c r="R21"/>
  <c r="R22"/>
  <c r="R23"/>
  <c r="R8"/>
  <c r="R7"/>
  <c r="R6"/>
  <c r="R5"/>
  <c r="R4"/>
  <c r="O25"/>
  <c r="O24"/>
  <c r="P24" s="1"/>
  <c r="O23"/>
  <c r="O20"/>
  <c r="O21"/>
  <c r="O22"/>
  <c r="O14"/>
  <c r="O15"/>
  <c r="O16"/>
  <c r="O17"/>
  <c r="O18"/>
  <c r="O19"/>
  <c r="O10"/>
  <c r="O11"/>
  <c r="O12"/>
  <c r="O13"/>
  <c r="O9"/>
  <c r="O8"/>
  <c r="P8" s="1"/>
  <c r="O7"/>
  <c r="O6"/>
  <c r="P6" s="1"/>
  <c r="O5"/>
  <c r="O4"/>
  <c r="P4" s="1"/>
  <c r="Y5" s="1"/>
  <c r="O26"/>
  <c r="X26"/>
  <c r="U26"/>
  <c r="P26"/>
  <c r="R26" s="1"/>
  <c r="P25"/>
  <c r="P23"/>
  <c r="P22"/>
  <c r="P21"/>
  <c r="P20"/>
  <c r="P19"/>
  <c r="P18"/>
  <c r="P17"/>
  <c r="P16"/>
  <c r="P15"/>
  <c r="P14"/>
  <c r="P13"/>
  <c r="P12"/>
  <c r="P11"/>
  <c r="P10"/>
  <c r="P9"/>
  <c r="P7"/>
  <c r="P5"/>
  <c r="E11"/>
  <c r="I26"/>
  <c r="E5"/>
  <c r="E9"/>
  <c r="E15"/>
  <c r="E19"/>
  <c r="E23"/>
  <c r="L26"/>
  <c r="J6" i="6"/>
  <c r="E6" i="7"/>
  <c r="E10"/>
  <c r="E12"/>
  <c r="E14"/>
  <c r="E16"/>
  <c r="E18"/>
  <c r="E20"/>
  <c r="E22"/>
  <c r="E24"/>
  <c r="E26"/>
  <c r="E4"/>
  <c r="D25"/>
  <c r="F25" s="1"/>
  <c r="D4"/>
  <c r="D5"/>
  <c r="F5" s="1"/>
  <c r="D6"/>
  <c r="F6" s="1"/>
  <c r="D7"/>
  <c r="F7" s="1"/>
  <c r="D9"/>
  <c r="F9" s="1"/>
  <c r="D10"/>
  <c r="F10" s="1"/>
  <c r="D12"/>
  <c r="F12" s="1"/>
  <c r="D14"/>
  <c r="F14" s="1"/>
  <c r="D16"/>
  <c r="F16" s="1"/>
  <c r="D18"/>
  <c r="F18" s="1"/>
  <c r="D20"/>
  <c r="F20" s="1"/>
  <c r="D22"/>
  <c r="F22" s="1"/>
  <c r="D24"/>
  <c r="F24" s="1"/>
  <c r="D26"/>
  <c r="F26" s="1"/>
  <c r="AS97" i="4"/>
  <c r="AS98"/>
  <c r="AS99"/>
  <c r="AS100"/>
  <c r="AS101"/>
  <c r="AS102"/>
  <c r="AS103"/>
  <c r="AS104"/>
  <c r="AS105"/>
  <c r="AS106"/>
  <c r="AS96"/>
  <c r="AS87"/>
  <c r="AS88"/>
  <c r="AS89"/>
  <c r="AS90"/>
  <c r="AS91"/>
  <c r="AS92"/>
  <c r="AS93"/>
  <c r="AS94"/>
  <c r="AS95"/>
  <c r="AS86"/>
  <c r="AS77"/>
  <c r="AS78"/>
  <c r="AS79"/>
  <c r="AS80"/>
  <c r="AS81"/>
  <c r="AS82"/>
  <c r="AS83"/>
  <c r="AS84"/>
  <c r="AS85"/>
  <c r="AS76"/>
  <c r="AS67"/>
  <c r="AS68"/>
  <c r="AS69"/>
  <c r="AS70"/>
  <c r="AS71"/>
  <c r="AS72"/>
  <c r="AS73"/>
  <c r="AS74"/>
  <c r="AS75"/>
  <c r="AS66"/>
  <c r="AS57"/>
  <c r="AS58"/>
  <c r="AS59"/>
  <c r="AS60"/>
  <c r="AS61"/>
  <c r="AS62"/>
  <c r="AS63"/>
  <c r="AS64"/>
  <c r="AS65"/>
  <c r="AS56"/>
  <c r="AS47"/>
  <c r="AS48"/>
  <c r="AS49"/>
  <c r="AS50"/>
  <c r="AS51"/>
  <c r="AS52"/>
  <c r="AS53"/>
  <c r="AS54"/>
  <c r="AS55"/>
  <c r="AS46"/>
  <c r="AS37"/>
  <c r="AS38"/>
  <c r="AS39"/>
  <c r="AS40"/>
  <c r="AS41"/>
  <c r="AS42"/>
  <c r="AS43"/>
  <c r="AS44"/>
  <c r="AS45"/>
  <c r="AS36"/>
  <c r="AS27"/>
  <c r="AS28"/>
  <c r="AS29"/>
  <c r="AS30"/>
  <c r="AS31"/>
  <c r="AS32"/>
  <c r="AS33"/>
  <c r="AS34"/>
  <c r="AS35"/>
  <c r="AS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AR91"/>
  <c r="AR92"/>
  <c r="AR93"/>
  <c r="AR94"/>
  <c r="AR95"/>
  <c r="AR96"/>
  <c r="AR97"/>
  <c r="AR98"/>
  <c r="AR99"/>
  <c r="AR100"/>
  <c r="AR101"/>
  <c r="AR102"/>
  <c r="AR103"/>
  <c r="AR104"/>
  <c r="AR105"/>
  <c r="AR106"/>
  <c r="AR26"/>
  <c r="AQ26"/>
  <c r="AQ77"/>
  <c r="AQ78"/>
  <c r="AQ79"/>
  <c r="AQ80"/>
  <c r="AQ81"/>
  <c r="AQ82"/>
  <c r="AQ83"/>
  <c r="AQ84"/>
  <c r="AQ85"/>
  <c r="AQ86"/>
  <c r="AQ76"/>
  <c r="AQ67"/>
  <c r="AQ68"/>
  <c r="AQ69"/>
  <c r="AQ70"/>
  <c r="AQ71"/>
  <c r="AQ72"/>
  <c r="AQ73"/>
  <c r="AQ74"/>
  <c r="AQ75"/>
  <c r="AQ66"/>
  <c r="AQ57"/>
  <c r="AQ58"/>
  <c r="AQ59"/>
  <c r="AQ60"/>
  <c r="AQ61"/>
  <c r="AQ62"/>
  <c r="AQ63"/>
  <c r="AQ64"/>
  <c r="AQ65"/>
  <c r="AQ56"/>
  <c r="AQ47"/>
  <c r="AQ48"/>
  <c r="AQ49"/>
  <c r="AQ50"/>
  <c r="AQ51"/>
  <c r="AQ52"/>
  <c r="AQ53"/>
  <c r="AQ54"/>
  <c r="AQ55"/>
  <c r="AQ46"/>
  <c r="AQ37"/>
  <c r="AQ38"/>
  <c r="AQ39"/>
  <c r="AQ40"/>
  <c r="AQ41"/>
  <c r="AQ42"/>
  <c r="AQ43"/>
  <c r="AQ44"/>
  <c r="AQ45"/>
  <c r="AQ36"/>
  <c r="AQ27"/>
  <c r="AQ28"/>
  <c r="AQ29"/>
  <c r="AQ30"/>
  <c r="AQ31"/>
  <c r="AQ32"/>
  <c r="AQ33"/>
  <c r="AQ34"/>
  <c r="AQ35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26"/>
  <c r="AO77"/>
  <c r="AO78"/>
  <c r="AO79"/>
  <c r="AO80"/>
  <c r="AO81"/>
  <c r="AO82"/>
  <c r="AO83"/>
  <c r="AO84"/>
  <c r="AO85"/>
  <c r="AO86"/>
  <c r="AO76"/>
  <c r="AO67"/>
  <c r="AO68"/>
  <c r="AO69"/>
  <c r="AO70"/>
  <c r="AO71"/>
  <c r="AO72"/>
  <c r="AO73"/>
  <c r="AO74"/>
  <c r="AO75"/>
  <c r="AO66"/>
  <c r="AO57"/>
  <c r="AO58"/>
  <c r="AO59"/>
  <c r="AO60"/>
  <c r="AO61"/>
  <c r="AO62"/>
  <c r="AO63"/>
  <c r="AO64"/>
  <c r="AO65"/>
  <c r="AO56"/>
  <c r="AO47"/>
  <c r="AO48"/>
  <c r="AO49"/>
  <c r="AO50"/>
  <c r="AO51"/>
  <c r="AO52"/>
  <c r="AO53"/>
  <c r="AO54"/>
  <c r="AO55"/>
  <c r="AO46"/>
  <c r="AO37"/>
  <c r="AO38"/>
  <c r="AO39"/>
  <c r="AO40"/>
  <c r="AO41"/>
  <c r="AO42"/>
  <c r="AO43"/>
  <c r="AO44"/>
  <c r="AO45"/>
  <c r="AO36"/>
  <c r="AO27"/>
  <c r="AO28"/>
  <c r="AO29"/>
  <c r="AO30"/>
  <c r="AO31"/>
  <c r="AO32"/>
  <c r="AO33"/>
  <c r="AO34"/>
  <c r="AO35"/>
  <c r="AO26"/>
  <c r="AH117"/>
  <c r="AG117"/>
  <c r="AH116"/>
  <c r="AG116"/>
  <c r="AH105"/>
  <c r="AG105"/>
  <c r="AH104"/>
  <c r="AG104"/>
  <c r="AH93"/>
  <c r="AG93"/>
  <c r="AJ93" s="1"/>
  <c r="AH92"/>
  <c r="AG92"/>
  <c r="AH89"/>
  <c r="AG89"/>
  <c r="AJ89" s="1"/>
  <c r="AH88"/>
  <c r="AG88"/>
  <c r="AH85"/>
  <c r="AG85"/>
  <c r="AJ85" s="1"/>
  <c r="AH84"/>
  <c r="AG84"/>
  <c r="AH81"/>
  <c r="AG81"/>
  <c r="AH80"/>
  <c r="AG80"/>
  <c r="AJ83" s="1"/>
  <c r="AH77"/>
  <c r="AG77"/>
  <c r="AH76"/>
  <c r="AG76"/>
  <c r="AH73"/>
  <c r="AG73"/>
  <c r="AH72"/>
  <c r="AG72"/>
  <c r="AH69"/>
  <c r="AG69"/>
  <c r="AH68"/>
  <c r="AG68"/>
  <c r="AH65"/>
  <c r="AG65"/>
  <c r="AJ65" s="1"/>
  <c r="AH64"/>
  <c r="AG64"/>
  <c r="AH61"/>
  <c r="AG61"/>
  <c r="AJ61" s="1"/>
  <c r="AH60"/>
  <c r="AG60"/>
  <c r="AH57"/>
  <c r="AG57"/>
  <c r="AJ57" s="1"/>
  <c r="AH56"/>
  <c r="AG56"/>
  <c r="AH53"/>
  <c r="AG53"/>
  <c r="AH52"/>
  <c r="AG52"/>
  <c r="AH49"/>
  <c r="AG49"/>
  <c r="AJ49" s="1"/>
  <c r="AH48"/>
  <c r="AG48"/>
  <c r="AH45"/>
  <c r="AG45"/>
  <c r="AJ45" s="1"/>
  <c r="AH44"/>
  <c r="AG44"/>
  <c r="AH41"/>
  <c r="AG41"/>
  <c r="AJ41" s="1"/>
  <c r="AH40"/>
  <c r="AG40"/>
  <c r="AH37"/>
  <c r="AG37"/>
  <c r="AJ37" s="1"/>
  <c r="AH36"/>
  <c r="AG36"/>
  <c r="AH33"/>
  <c r="AG33"/>
  <c r="AJ33" s="1"/>
  <c r="AH32"/>
  <c r="AG32"/>
  <c r="AJ34" s="1"/>
  <c r="AH29"/>
  <c r="AG29"/>
  <c r="AJ29" s="1"/>
  <c r="AH28"/>
  <c r="AG28"/>
  <c r="AJ30" s="1"/>
  <c r="AH25"/>
  <c r="AG25"/>
  <c r="AJ25" s="1"/>
  <c r="AH24"/>
  <c r="AG24"/>
  <c r="AJ26" s="1"/>
  <c r="AC6" i="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5"/>
  <c r="AD5" s="1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4"/>
  <c r="AC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4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5"/>
  <c r="I24"/>
  <c r="I25"/>
  <c r="D2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5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4"/>
  <c r="Y26"/>
  <c r="Q26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6"/>
  <c r="I5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4"/>
  <c r="BZ11" i="4"/>
  <c r="BY11"/>
  <c r="BX11"/>
  <c r="BW11"/>
  <c r="BV11"/>
  <c r="BU11"/>
  <c r="BT11"/>
  <c r="BS11"/>
  <c r="BR11"/>
  <c r="BZ10"/>
  <c r="BY10"/>
  <c r="BX10"/>
  <c r="BW10"/>
  <c r="BV10"/>
  <c r="BU10"/>
  <c r="BT10"/>
  <c r="BS10"/>
  <c r="BR10"/>
  <c r="BX7"/>
  <c r="BW7"/>
  <c r="BV7"/>
  <c r="BU7"/>
  <c r="BT7"/>
  <c r="BS7"/>
  <c r="BR7"/>
  <c r="BZ6"/>
  <c r="BY6"/>
  <c r="BX6"/>
  <c r="BW6"/>
  <c r="BV6"/>
  <c r="BU6"/>
  <c r="BT6"/>
  <c r="BS6"/>
  <c r="BR6"/>
  <c r="BX3"/>
  <c r="BW3"/>
  <c r="BV3"/>
  <c r="BU3"/>
  <c r="BT3"/>
  <c r="BS3"/>
  <c r="BR3"/>
  <c r="BZ2"/>
  <c r="BY2"/>
  <c r="BX2"/>
  <c r="BW2"/>
  <c r="BV2"/>
  <c r="BU2"/>
  <c r="BT2"/>
  <c r="BS2"/>
  <c r="BR2"/>
  <c r="AT11"/>
  <c r="AU11"/>
  <c r="AV11"/>
  <c r="AW11"/>
  <c r="AX11"/>
  <c r="AY11"/>
  <c r="AR7"/>
  <c r="AS7"/>
  <c r="AT7"/>
  <c r="AU7"/>
  <c r="AV7"/>
  <c r="AW7"/>
  <c r="AR3"/>
  <c r="AS3"/>
  <c r="AT3"/>
  <c r="AU3"/>
  <c r="AV3"/>
  <c r="AW3"/>
  <c r="AT10"/>
  <c r="AU10"/>
  <c r="AV10"/>
  <c r="AW10"/>
  <c r="AX10"/>
  <c r="AY10"/>
  <c r="AT6"/>
  <c r="AU6"/>
  <c r="AV6"/>
  <c r="AW6"/>
  <c r="AX6"/>
  <c r="AY6"/>
  <c r="AT2"/>
  <c r="AU2"/>
  <c r="AV2"/>
  <c r="AW2"/>
  <c r="AX2"/>
  <c r="AY2"/>
  <c r="AS11"/>
  <c r="AR11"/>
  <c r="AQ11"/>
  <c r="AS10"/>
  <c r="AR10"/>
  <c r="AQ10"/>
  <c r="BA13" s="1"/>
  <c r="AQ7"/>
  <c r="AS6"/>
  <c r="AR6"/>
  <c r="AQ6"/>
  <c r="BA8" s="1"/>
  <c r="AQ3"/>
  <c r="AS2"/>
  <c r="AR2"/>
  <c r="AQ2"/>
  <c r="BA5" s="1"/>
  <c r="AT3" i="6"/>
  <c r="AS25"/>
  <c r="AS3"/>
  <c r="AR25"/>
  <c r="AR3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3"/>
  <c r="AO3"/>
  <c r="AN25"/>
  <c r="AN3"/>
  <c r="AM25"/>
  <c r="AM3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3"/>
  <c r="AJ3"/>
  <c r="AI25"/>
  <c r="AI3"/>
  <c r="AH25"/>
  <c r="AH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3"/>
  <c r="V4"/>
  <c r="X26"/>
  <c r="P26"/>
  <c r="H26"/>
  <c r="C26"/>
  <c r="U25"/>
  <c r="AR24" s="1"/>
  <c r="M25"/>
  <c r="AM24" s="1"/>
  <c r="E25"/>
  <c r="AH24" s="1"/>
  <c r="C25"/>
  <c r="C24"/>
  <c r="U23"/>
  <c r="Y23" s="1"/>
  <c r="M23"/>
  <c r="Q23" s="1"/>
  <c r="E23"/>
  <c r="C23"/>
  <c r="C22"/>
  <c r="U21"/>
  <c r="Y21" s="1"/>
  <c r="M21"/>
  <c r="Q21" s="1"/>
  <c r="E21"/>
  <c r="C21"/>
  <c r="C20"/>
  <c r="U19"/>
  <c r="Y19" s="1"/>
  <c r="M19"/>
  <c r="Q19" s="1"/>
  <c r="E19"/>
  <c r="C19"/>
  <c r="C18"/>
  <c r="U17"/>
  <c r="Y17" s="1"/>
  <c r="M17"/>
  <c r="Q17" s="1"/>
  <c r="E17"/>
  <c r="C17"/>
  <c r="C16"/>
  <c r="U15"/>
  <c r="Y15" s="1"/>
  <c r="M15"/>
  <c r="Q15" s="1"/>
  <c r="E15"/>
  <c r="C15"/>
  <c r="C14"/>
  <c r="U13"/>
  <c r="Y13" s="1"/>
  <c r="M13"/>
  <c r="Q13" s="1"/>
  <c r="E13"/>
  <c r="C13"/>
  <c r="C12"/>
  <c r="U11"/>
  <c r="Y11" s="1"/>
  <c r="M11"/>
  <c r="Q11" s="1"/>
  <c r="E11"/>
  <c r="C11"/>
  <c r="C10"/>
  <c r="U9"/>
  <c r="Y9" s="1"/>
  <c r="M9"/>
  <c r="Q9" s="1"/>
  <c r="E9"/>
  <c r="C9"/>
  <c r="C8"/>
  <c r="U7"/>
  <c r="Y7" s="1"/>
  <c r="M7"/>
  <c r="Q7" s="1"/>
  <c r="E7"/>
  <c r="C7"/>
  <c r="C6"/>
  <c r="Z5"/>
  <c r="AT4" s="1"/>
  <c r="R5"/>
  <c r="AO4" s="1"/>
  <c r="M5"/>
  <c r="AM4" s="1"/>
  <c r="J5"/>
  <c r="AJ4" s="1"/>
  <c r="E5"/>
  <c r="AH4" s="1"/>
  <c r="C5"/>
  <c r="U5" s="1"/>
  <c r="AR4" s="1"/>
  <c r="C4"/>
  <c r="M71" i="4"/>
  <c r="M72"/>
  <c r="M67"/>
  <c r="M68"/>
  <c r="M63"/>
  <c r="M64"/>
  <c r="O84"/>
  <c r="O85"/>
  <c r="N84"/>
  <c r="N85"/>
  <c r="G90"/>
  <c r="F90"/>
  <c r="G89"/>
  <c r="F89"/>
  <c r="M85"/>
  <c r="L85"/>
  <c r="K85"/>
  <c r="J85"/>
  <c r="M84"/>
  <c r="L84"/>
  <c r="K84"/>
  <c r="J84"/>
  <c r="M81"/>
  <c r="L81"/>
  <c r="K81"/>
  <c r="J81"/>
  <c r="M80"/>
  <c r="L80"/>
  <c r="K80"/>
  <c r="J80"/>
  <c r="M77"/>
  <c r="L77"/>
  <c r="K77"/>
  <c r="J77"/>
  <c r="M76"/>
  <c r="L76"/>
  <c r="K76"/>
  <c r="J76"/>
  <c r="L72"/>
  <c r="K72"/>
  <c r="J72"/>
  <c r="I72"/>
  <c r="L71"/>
  <c r="K71"/>
  <c r="J71"/>
  <c r="I71"/>
  <c r="L68"/>
  <c r="K68"/>
  <c r="J68"/>
  <c r="I68"/>
  <c r="L67"/>
  <c r="K67"/>
  <c r="J67"/>
  <c r="I67"/>
  <c r="L64"/>
  <c r="K64"/>
  <c r="J64"/>
  <c r="I64"/>
  <c r="L63"/>
  <c r="K63"/>
  <c r="J63"/>
  <c r="I63"/>
  <c r="K54"/>
  <c r="K55"/>
  <c r="K58"/>
  <c r="K59"/>
  <c r="K50"/>
  <c r="K51"/>
  <c r="J59"/>
  <c r="I59"/>
  <c r="H59"/>
  <c r="J58"/>
  <c r="I58"/>
  <c r="H58"/>
  <c r="J55"/>
  <c r="I55"/>
  <c r="H55"/>
  <c r="J54"/>
  <c r="I54"/>
  <c r="H54"/>
  <c r="J51"/>
  <c r="I51"/>
  <c r="H51"/>
  <c r="J50"/>
  <c r="I50"/>
  <c r="H50"/>
  <c r="I38"/>
  <c r="I46"/>
  <c r="H46"/>
  <c r="G46"/>
  <c r="I45"/>
  <c r="H45"/>
  <c r="G45"/>
  <c r="I42"/>
  <c r="H42"/>
  <c r="G42"/>
  <c r="I41"/>
  <c r="H41"/>
  <c r="G41"/>
  <c r="H38"/>
  <c r="G38"/>
  <c r="I37"/>
  <c r="H37"/>
  <c r="G37"/>
  <c r="H29"/>
  <c r="I33"/>
  <c r="H33"/>
  <c r="G33"/>
  <c r="I32"/>
  <c r="H32"/>
  <c r="G32"/>
  <c r="I29"/>
  <c r="G29"/>
  <c r="I28"/>
  <c r="H28"/>
  <c r="G28"/>
  <c r="H24"/>
  <c r="I24"/>
  <c r="H25"/>
  <c r="I25"/>
  <c r="G25"/>
  <c r="G24"/>
  <c r="B18"/>
  <c r="C18"/>
  <c r="D18"/>
  <c r="E18"/>
  <c r="F18"/>
  <c r="G18"/>
  <c r="H18"/>
  <c r="I18"/>
  <c r="J18"/>
  <c r="B19"/>
  <c r="C19"/>
  <c r="D19"/>
  <c r="E19"/>
  <c r="F19"/>
  <c r="G19"/>
  <c r="H19"/>
  <c r="I19"/>
  <c r="J19"/>
  <c r="C17"/>
  <c r="D17"/>
  <c r="E17"/>
  <c r="F17"/>
  <c r="G17"/>
  <c r="H17"/>
  <c r="H3" s="1"/>
  <c r="I17"/>
  <c r="J17"/>
  <c r="B17"/>
  <c r="B12"/>
  <c r="C12"/>
  <c r="D12"/>
  <c r="E12"/>
  <c r="F12"/>
  <c r="G12"/>
  <c r="H12"/>
  <c r="I12"/>
  <c r="J12"/>
  <c r="B13"/>
  <c r="C13"/>
  <c r="D13"/>
  <c r="E13"/>
  <c r="F13"/>
  <c r="G13"/>
  <c r="H13"/>
  <c r="I13"/>
  <c r="J13"/>
  <c r="C11"/>
  <c r="D11"/>
  <c r="E11"/>
  <c r="F11"/>
  <c r="G11"/>
  <c r="H11"/>
  <c r="I11"/>
  <c r="J11"/>
  <c r="B11"/>
  <c r="E19" i="3"/>
  <c r="D19"/>
  <c r="C19"/>
  <c r="H11"/>
  <c r="G11"/>
  <c r="F11"/>
  <c r="E11"/>
  <c r="D11"/>
  <c r="C11"/>
  <c r="C16" s="1"/>
  <c r="H10"/>
  <c r="H12" s="1"/>
  <c r="G10"/>
  <c r="G12" s="1"/>
  <c r="F10"/>
  <c r="F12" s="1"/>
  <c r="E10"/>
  <c r="E12" s="1"/>
  <c r="D10"/>
  <c r="D12" s="1"/>
  <c r="C10"/>
  <c r="C15" s="1"/>
  <c r="AO303" i="2"/>
  <c r="AJ303"/>
  <c r="AF302"/>
  <c r="AC301"/>
  <c r="AC252"/>
  <c r="AC302" s="1"/>
  <c r="AD252"/>
  <c r="AD302" s="1"/>
  <c r="AE252"/>
  <c r="AE302" s="1"/>
  <c r="AG252"/>
  <c r="AG302" s="1"/>
  <c r="AH252"/>
  <c r="AH302" s="1"/>
  <c r="AI252"/>
  <c r="AI302" s="1"/>
  <c r="AJ252"/>
  <c r="AJ302" s="1"/>
  <c r="AK252"/>
  <c r="AK302" s="1"/>
  <c r="AL252"/>
  <c r="AL302" s="1"/>
  <c r="AM252"/>
  <c r="AM302" s="1"/>
  <c r="AN252"/>
  <c r="AN302" s="1"/>
  <c r="AO251"/>
  <c r="AJ253"/>
  <c r="AO253"/>
  <c r="AG251"/>
  <c r="AK251"/>
  <c r="AC251"/>
  <c r="E278"/>
  <c r="E280"/>
  <c r="E282"/>
  <c r="E284"/>
  <c r="E286"/>
  <c r="E288"/>
  <c r="E290"/>
  <c r="E292"/>
  <c r="E294"/>
  <c r="E296"/>
  <c r="E298"/>
  <c r="E300"/>
  <c r="E302"/>
  <c r="E304"/>
  <c r="E306"/>
  <c r="D306"/>
  <c r="AD334" s="1"/>
  <c r="C306"/>
  <c r="D305"/>
  <c r="AD333" s="1"/>
  <c r="C305"/>
  <c r="D304"/>
  <c r="AD332" s="1"/>
  <c r="C304"/>
  <c r="D303"/>
  <c r="AD331" s="1"/>
  <c r="C303"/>
  <c r="D302"/>
  <c r="AD330" s="1"/>
  <c r="C302"/>
  <c r="D301"/>
  <c r="AD329" s="1"/>
  <c r="C301"/>
  <c r="D300"/>
  <c r="AD328" s="1"/>
  <c r="C300"/>
  <c r="D299"/>
  <c r="AD327" s="1"/>
  <c r="C299"/>
  <c r="D298"/>
  <c r="AD326" s="1"/>
  <c r="C298"/>
  <c r="D297"/>
  <c r="AD325" s="1"/>
  <c r="C297"/>
  <c r="D296"/>
  <c r="AD324" s="1"/>
  <c r="C296"/>
  <c r="D295"/>
  <c r="AD323" s="1"/>
  <c r="C295"/>
  <c r="D294"/>
  <c r="AD322" s="1"/>
  <c r="C294"/>
  <c r="D293"/>
  <c r="AD321" s="1"/>
  <c r="C293"/>
  <c r="D292"/>
  <c r="AD320" s="1"/>
  <c r="C292"/>
  <c r="D291"/>
  <c r="AD319" s="1"/>
  <c r="C291"/>
  <c r="D290"/>
  <c r="AD318" s="1"/>
  <c r="C290"/>
  <c r="D289"/>
  <c r="AD317" s="1"/>
  <c r="C289"/>
  <c r="D288"/>
  <c r="AD316" s="1"/>
  <c r="C288"/>
  <c r="D287"/>
  <c r="AD315" s="1"/>
  <c r="C287"/>
  <c r="D286"/>
  <c r="AD314" s="1"/>
  <c r="C286"/>
  <c r="D285"/>
  <c r="AD313" s="1"/>
  <c r="C285"/>
  <c r="D284"/>
  <c r="AD312" s="1"/>
  <c r="C284"/>
  <c r="D283"/>
  <c r="AD311" s="1"/>
  <c r="C283"/>
  <c r="D282"/>
  <c r="AD310" s="1"/>
  <c r="C282"/>
  <c r="D281"/>
  <c r="AD309" s="1"/>
  <c r="C281"/>
  <c r="D280"/>
  <c r="AD308" s="1"/>
  <c r="C280"/>
  <c r="D279"/>
  <c r="AD307" s="1"/>
  <c r="C279"/>
  <c r="D278"/>
  <c r="AD306" s="1"/>
  <c r="C278"/>
  <c r="D277"/>
  <c r="AD305" s="1"/>
  <c r="C277"/>
  <c r="D276"/>
  <c r="AD304" s="1"/>
  <c r="C276"/>
  <c r="D275"/>
  <c r="C275"/>
  <c r="AC303" s="1"/>
  <c r="M232"/>
  <c r="M240"/>
  <c r="M248"/>
  <c r="E224"/>
  <c r="AE253" s="1"/>
  <c r="C226"/>
  <c r="AC255" s="1"/>
  <c r="D226"/>
  <c r="AD255" s="1"/>
  <c r="C227"/>
  <c r="D227"/>
  <c r="AD256" s="1"/>
  <c r="C228"/>
  <c r="AC257" s="1"/>
  <c r="D228"/>
  <c r="AD257" s="1"/>
  <c r="C229"/>
  <c r="D229"/>
  <c r="AD258" s="1"/>
  <c r="C230"/>
  <c r="AC259" s="1"/>
  <c r="D230"/>
  <c r="AD259" s="1"/>
  <c r="C231"/>
  <c r="D231"/>
  <c r="AD260" s="1"/>
  <c r="C232"/>
  <c r="AC261" s="1"/>
  <c r="D232"/>
  <c r="AD261" s="1"/>
  <c r="C233"/>
  <c r="D233"/>
  <c r="AD262" s="1"/>
  <c r="C234"/>
  <c r="AC263" s="1"/>
  <c r="D234"/>
  <c r="AD263" s="1"/>
  <c r="C235"/>
  <c r="D235"/>
  <c r="AD264" s="1"/>
  <c r="C236"/>
  <c r="AC265" s="1"/>
  <c r="D236"/>
  <c r="AD265" s="1"/>
  <c r="C237"/>
  <c r="D237"/>
  <c r="AD266" s="1"/>
  <c r="C238"/>
  <c r="AC267" s="1"/>
  <c r="D238"/>
  <c r="AD267" s="1"/>
  <c r="C239"/>
  <c r="D239"/>
  <c r="AD268" s="1"/>
  <c r="C240"/>
  <c r="AC269" s="1"/>
  <c r="D240"/>
  <c r="AD269" s="1"/>
  <c r="C241"/>
  <c r="D241"/>
  <c r="AD270" s="1"/>
  <c r="C242"/>
  <c r="AC271" s="1"/>
  <c r="D242"/>
  <c r="AD271" s="1"/>
  <c r="C243"/>
  <c r="D243"/>
  <c r="AD272" s="1"/>
  <c r="C244"/>
  <c r="AC273" s="1"/>
  <c r="D244"/>
  <c r="AD273" s="1"/>
  <c r="C245"/>
  <c r="D245"/>
  <c r="AD274" s="1"/>
  <c r="C246"/>
  <c r="AC275" s="1"/>
  <c r="D246"/>
  <c r="AD275" s="1"/>
  <c r="C247"/>
  <c r="D247"/>
  <c r="AD276" s="1"/>
  <c r="C248"/>
  <c r="AC277" s="1"/>
  <c r="D248"/>
  <c r="AD277" s="1"/>
  <c r="C249"/>
  <c r="D249"/>
  <c r="AD278" s="1"/>
  <c r="C250"/>
  <c r="AC279" s="1"/>
  <c r="D250"/>
  <c r="AD279" s="1"/>
  <c r="C251"/>
  <c r="D251"/>
  <c r="AD280" s="1"/>
  <c r="C252"/>
  <c r="AC281" s="1"/>
  <c r="D252"/>
  <c r="AD281" s="1"/>
  <c r="C253"/>
  <c r="D253"/>
  <c r="AD282" s="1"/>
  <c r="C254"/>
  <c r="AC283" s="1"/>
  <c r="D254"/>
  <c r="AD283" s="1"/>
  <c r="C255"/>
  <c r="D255"/>
  <c r="AD284" s="1"/>
  <c r="C225"/>
  <c r="D225"/>
  <c r="AD254" s="1"/>
  <c r="D224"/>
  <c r="AD253" s="1"/>
  <c r="C224"/>
  <c r="AC253" s="1"/>
  <c r="A218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196"/>
  <c r="Q131"/>
  <c r="I131"/>
  <c r="Y131"/>
  <c r="W131"/>
  <c r="X131" s="1"/>
  <c r="Z110"/>
  <c r="V109"/>
  <c r="O131"/>
  <c r="P131" s="1"/>
  <c r="R110"/>
  <c r="N109"/>
  <c r="G173"/>
  <c r="G174"/>
  <c r="G175"/>
  <c r="F174"/>
  <c r="F173"/>
  <c r="F175" s="1"/>
  <c r="E174"/>
  <c r="C173"/>
  <c r="D173"/>
  <c r="E173"/>
  <c r="E175" s="1"/>
  <c r="D190"/>
  <c r="C175"/>
  <c r="D175"/>
  <c r="C190"/>
  <c r="B190"/>
  <c r="C174"/>
  <c r="D174"/>
  <c r="B174"/>
  <c r="B173"/>
  <c r="G131"/>
  <c r="H131" s="1"/>
  <c r="C131"/>
  <c r="B218" s="1"/>
  <c r="C218" s="1"/>
  <c r="C130"/>
  <c r="C129"/>
  <c r="B216" s="1"/>
  <c r="C216" s="1"/>
  <c r="C128"/>
  <c r="C127"/>
  <c r="B214" s="1"/>
  <c r="C214" s="1"/>
  <c r="C126"/>
  <c r="C125"/>
  <c r="B212" s="1"/>
  <c r="C212" s="1"/>
  <c r="C124"/>
  <c r="C123"/>
  <c r="B210" s="1"/>
  <c r="C210" s="1"/>
  <c r="C122"/>
  <c r="C121"/>
  <c r="B208" s="1"/>
  <c r="C208" s="1"/>
  <c r="C120"/>
  <c r="C119"/>
  <c r="B206" s="1"/>
  <c r="C206" s="1"/>
  <c r="C118"/>
  <c r="C117"/>
  <c r="B204" s="1"/>
  <c r="C204" s="1"/>
  <c r="C116"/>
  <c r="C115"/>
  <c r="B202" s="1"/>
  <c r="C202" s="1"/>
  <c r="C114"/>
  <c r="C113"/>
  <c r="B200" s="1"/>
  <c r="C200" s="1"/>
  <c r="C112"/>
  <c r="C111"/>
  <c r="B198" s="1"/>
  <c r="C198" s="1"/>
  <c r="C110"/>
  <c r="J110"/>
  <c r="F109"/>
  <c r="C109"/>
  <c r="L109" s="1"/>
  <c r="I57"/>
  <c r="J58" s="1"/>
  <c r="I79"/>
  <c r="G79"/>
  <c r="H79" s="1"/>
  <c r="X79"/>
  <c r="P79"/>
  <c r="C79"/>
  <c r="L79" s="1"/>
  <c r="M79" s="1"/>
  <c r="Q79" s="1"/>
  <c r="C78"/>
  <c r="L78" s="1"/>
  <c r="C77"/>
  <c r="L77" s="1"/>
  <c r="M77" s="1"/>
  <c r="Q77" s="1"/>
  <c r="C76"/>
  <c r="L76" s="1"/>
  <c r="C75"/>
  <c r="L75" s="1"/>
  <c r="M75" s="1"/>
  <c r="Q75" s="1"/>
  <c r="C74"/>
  <c r="L74" s="1"/>
  <c r="C73"/>
  <c r="L73" s="1"/>
  <c r="M73" s="1"/>
  <c r="Q73" s="1"/>
  <c r="C72"/>
  <c r="L72" s="1"/>
  <c r="C71"/>
  <c r="L71" s="1"/>
  <c r="M71" s="1"/>
  <c r="Q71" s="1"/>
  <c r="C70"/>
  <c r="L70" s="1"/>
  <c r="C69"/>
  <c r="L69" s="1"/>
  <c r="M69" s="1"/>
  <c r="Q69" s="1"/>
  <c r="C68"/>
  <c r="L68" s="1"/>
  <c r="C67"/>
  <c r="L67" s="1"/>
  <c r="M67" s="1"/>
  <c r="Q67" s="1"/>
  <c r="C66"/>
  <c r="L66" s="1"/>
  <c r="C65"/>
  <c r="L65" s="1"/>
  <c r="M65" s="1"/>
  <c r="Q65" s="1"/>
  <c r="C64"/>
  <c r="L64" s="1"/>
  <c r="C63"/>
  <c r="L63" s="1"/>
  <c r="M63" s="1"/>
  <c r="Q63" s="1"/>
  <c r="C62"/>
  <c r="L62" s="1"/>
  <c r="C61"/>
  <c r="L61" s="1"/>
  <c r="M61" s="1"/>
  <c r="Q61" s="1"/>
  <c r="C60"/>
  <c r="L60" s="1"/>
  <c r="C59"/>
  <c r="L59" s="1"/>
  <c r="M59" s="1"/>
  <c r="Q59" s="1"/>
  <c r="C58"/>
  <c r="Z58"/>
  <c r="V57"/>
  <c r="R58"/>
  <c r="F57"/>
  <c r="C57"/>
  <c r="T57" s="1"/>
  <c r="Y4"/>
  <c r="Q4"/>
  <c r="I4"/>
  <c r="X26"/>
  <c r="G26"/>
  <c r="H26" s="1"/>
  <c r="P26"/>
  <c r="C26"/>
  <c r="L26" s="1"/>
  <c r="M26" s="1"/>
  <c r="Q26" s="1"/>
  <c r="C25"/>
  <c r="L25" s="1"/>
  <c r="M25" s="1"/>
  <c r="N25" s="1"/>
  <c r="O25" s="1"/>
  <c r="P25" s="1"/>
  <c r="C24"/>
  <c r="L24" s="1"/>
  <c r="M24" s="1"/>
  <c r="N24" s="1"/>
  <c r="O24" s="1"/>
  <c r="P24" s="1"/>
  <c r="C23"/>
  <c r="L23" s="1"/>
  <c r="M23" s="1"/>
  <c r="N23" s="1"/>
  <c r="O23" s="1"/>
  <c r="P23" s="1"/>
  <c r="C22"/>
  <c r="L22" s="1"/>
  <c r="M22" s="1"/>
  <c r="N22" s="1"/>
  <c r="O22" s="1"/>
  <c r="P22" s="1"/>
  <c r="C21"/>
  <c r="L21" s="1"/>
  <c r="M21" s="1"/>
  <c r="N21" s="1"/>
  <c r="O21" s="1"/>
  <c r="P21" s="1"/>
  <c r="C20"/>
  <c r="L20" s="1"/>
  <c r="M20" s="1"/>
  <c r="N20" s="1"/>
  <c r="O20" s="1"/>
  <c r="P20" s="1"/>
  <c r="C19"/>
  <c r="L19" s="1"/>
  <c r="M19" s="1"/>
  <c r="N19" s="1"/>
  <c r="O19" s="1"/>
  <c r="P19" s="1"/>
  <c r="C18"/>
  <c r="L18" s="1"/>
  <c r="M18" s="1"/>
  <c r="N18" s="1"/>
  <c r="O18" s="1"/>
  <c r="P18" s="1"/>
  <c r="C17"/>
  <c r="L17" s="1"/>
  <c r="M17" s="1"/>
  <c r="N17" s="1"/>
  <c r="O17" s="1"/>
  <c r="P17" s="1"/>
  <c r="C16"/>
  <c r="L16" s="1"/>
  <c r="M16" s="1"/>
  <c r="N16" s="1"/>
  <c r="O16" s="1"/>
  <c r="P16" s="1"/>
  <c r="C15"/>
  <c r="L15" s="1"/>
  <c r="M15" s="1"/>
  <c r="N15" s="1"/>
  <c r="O15" s="1"/>
  <c r="P15" s="1"/>
  <c r="C14"/>
  <c r="L14" s="1"/>
  <c r="M14" s="1"/>
  <c r="N14" s="1"/>
  <c r="O14" s="1"/>
  <c r="P14" s="1"/>
  <c r="C13"/>
  <c r="L13" s="1"/>
  <c r="M13" s="1"/>
  <c r="N13" s="1"/>
  <c r="O13" s="1"/>
  <c r="P13" s="1"/>
  <c r="C12"/>
  <c r="L12" s="1"/>
  <c r="M12" s="1"/>
  <c r="N12" s="1"/>
  <c r="O12" s="1"/>
  <c r="P12" s="1"/>
  <c r="C11"/>
  <c r="L11" s="1"/>
  <c r="M11" s="1"/>
  <c r="N11" s="1"/>
  <c r="O11" s="1"/>
  <c r="P11" s="1"/>
  <c r="C10"/>
  <c r="L10" s="1"/>
  <c r="M10" s="1"/>
  <c r="N10" s="1"/>
  <c r="O10" s="1"/>
  <c r="P10" s="1"/>
  <c r="C9"/>
  <c r="L9" s="1"/>
  <c r="M9" s="1"/>
  <c r="N9" s="1"/>
  <c r="O9" s="1"/>
  <c r="P9" s="1"/>
  <c r="C8"/>
  <c r="L8" s="1"/>
  <c r="M8" s="1"/>
  <c r="N8" s="1"/>
  <c r="O8" s="1"/>
  <c r="P8" s="1"/>
  <c r="C7"/>
  <c r="L7" s="1"/>
  <c r="M7" s="1"/>
  <c r="N7" s="1"/>
  <c r="O7" s="1"/>
  <c r="P7" s="1"/>
  <c r="C6"/>
  <c r="L6" s="1"/>
  <c r="M6" s="1"/>
  <c r="N6" s="1"/>
  <c r="O6" s="1"/>
  <c r="P6" s="1"/>
  <c r="C5"/>
  <c r="L5" s="1"/>
  <c r="C4"/>
  <c r="L4" s="1"/>
  <c r="N4" s="1"/>
  <c r="K67" i="1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66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I3"/>
  <c r="I36"/>
  <c r="E3"/>
  <c r="D3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36"/>
  <c r="E36" s="1"/>
  <c r="F36" s="1"/>
  <c r="C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65"/>
  <c r="E67"/>
  <c r="E65"/>
  <c r="I87"/>
  <c r="D87"/>
  <c r="E66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I59"/>
  <c r="I26"/>
  <c r="H87"/>
  <c r="H59"/>
  <c r="H26"/>
  <c r="C86"/>
  <c r="C85"/>
  <c r="F85" s="1"/>
  <c r="G85" s="1"/>
  <c r="H85" s="1"/>
  <c r="C81"/>
  <c r="F81" s="1"/>
  <c r="G81" s="1"/>
  <c r="H81" s="1"/>
  <c r="C82"/>
  <c r="F82" s="1"/>
  <c r="G82" s="1"/>
  <c r="H82" s="1"/>
  <c r="C83"/>
  <c r="F83" s="1"/>
  <c r="G83" s="1"/>
  <c r="H83" s="1"/>
  <c r="C84"/>
  <c r="F84" s="1"/>
  <c r="G84" s="1"/>
  <c r="H84" s="1"/>
  <c r="C87"/>
  <c r="F87" s="1"/>
  <c r="C67"/>
  <c r="C68"/>
  <c r="C69"/>
  <c r="F69" s="1"/>
  <c r="G69" s="1"/>
  <c r="H69" s="1"/>
  <c r="C70"/>
  <c r="C71"/>
  <c r="F71" s="1"/>
  <c r="G71" s="1"/>
  <c r="H71" s="1"/>
  <c r="C72"/>
  <c r="C73"/>
  <c r="F73" s="1"/>
  <c r="G73" s="1"/>
  <c r="H73" s="1"/>
  <c r="C74"/>
  <c r="C75"/>
  <c r="F75" s="1"/>
  <c r="G75" s="1"/>
  <c r="H75" s="1"/>
  <c r="C76"/>
  <c r="C77"/>
  <c r="F77" s="1"/>
  <c r="G77" s="1"/>
  <c r="H77" s="1"/>
  <c r="C78"/>
  <c r="C79"/>
  <c r="F79" s="1"/>
  <c r="G79" s="1"/>
  <c r="H79" s="1"/>
  <c r="C80"/>
  <c r="C59"/>
  <c r="D59" s="1"/>
  <c r="E59" s="1"/>
  <c r="F59" s="1"/>
  <c r="C4"/>
  <c r="F4" s="1"/>
  <c r="G4" s="1"/>
  <c r="H4" s="1"/>
  <c r="C5"/>
  <c r="F5" s="1"/>
  <c r="G5" s="1"/>
  <c r="H5" s="1"/>
  <c r="C6"/>
  <c r="F6" s="1"/>
  <c r="G6" s="1"/>
  <c r="H6" s="1"/>
  <c r="C7"/>
  <c r="F7" s="1"/>
  <c r="G7" s="1"/>
  <c r="H7" s="1"/>
  <c r="C8"/>
  <c r="F8" s="1"/>
  <c r="G8" s="1"/>
  <c r="H8" s="1"/>
  <c r="C9"/>
  <c r="F9" s="1"/>
  <c r="G9" s="1"/>
  <c r="H9" s="1"/>
  <c r="C10"/>
  <c r="F10" s="1"/>
  <c r="G10" s="1"/>
  <c r="H10" s="1"/>
  <c r="C11"/>
  <c r="F11" s="1"/>
  <c r="G11" s="1"/>
  <c r="H11" s="1"/>
  <c r="C12"/>
  <c r="F12" s="1"/>
  <c r="G12" s="1"/>
  <c r="H12" s="1"/>
  <c r="C13"/>
  <c r="F13" s="1"/>
  <c r="G13" s="1"/>
  <c r="H13" s="1"/>
  <c r="C14"/>
  <c r="F14" s="1"/>
  <c r="G14" s="1"/>
  <c r="H14" s="1"/>
  <c r="C15"/>
  <c r="F15" s="1"/>
  <c r="G15" s="1"/>
  <c r="H15" s="1"/>
  <c r="C16"/>
  <c r="F16" s="1"/>
  <c r="G16" s="1"/>
  <c r="H16" s="1"/>
  <c r="C17"/>
  <c r="F17" s="1"/>
  <c r="G17" s="1"/>
  <c r="H17" s="1"/>
  <c r="C18"/>
  <c r="F18" s="1"/>
  <c r="G18" s="1"/>
  <c r="H18" s="1"/>
  <c r="C19"/>
  <c r="F19" s="1"/>
  <c r="G19" s="1"/>
  <c r="H19" s="1"/>
  <c r="C20"/>
  <c r="F20" s="1"/>
  <c r="G20" s="1"/>
  <c r="H20" s="1"/>
  <c r="C21"/>
  <c r="F21" s="1"/>
  <c r="G21" s="1"/>
  <c r="H21" s="1"/>
  <c r="C22"/>
  <c r="F22" s="1"/>
  <c r="G22" s="1"/>
  <c r="H22" s="1"/>
  <c r="C23"/>
  <c r="F23" s="1"/>
  <c r="G23" s="1"/>
  <c r="H23" s="1"/>
  <c r="C24"/>
  <c r="F24" s="1"/>
  <c r="G24" s="1"/>
  <c r="H24" s="1"/>
  <c r="C25"/>
  <c r="F25" s="1"/>
  <c r="G25" s="1"/>
  <c r="H25" s="1"/>
  <c r="C26"/>
  <c r="D26" s="1"/>
  <c r="E26" s="1"/>
  <c r="F26" s="1"/>
  <c r="C3"/>
  <c r="J4" s="1"/>
  <c r="C66"/>
  <c r="F66" s="1"/>
  <c r="G66" s="1"/>
  <c r="H66" s="1"/>
  <c r="C38"/>
  <c r="F38" s="1"/>
  <c r="G38" s="1"/>
  <c r="C39"/>
  <c r="F39" s="1"/>
  <c r="G39" s="1"/>
  <c r="C40"/>
  <c r="F40" s="1"/>
  <c r="G40" s="1"/>
  <c r="C41"/>
  <c r="F41" s="1"/>
  <c r="G41" s="1"/>
  <c r="C42"/>
  <c r="F42" s="1"/>
  <c r="G42" s="1"/>
  <c r="C43"/>
  <c r="F43" s="1"/>
  <c r="G43" s="1"/>
  <c r="C44"/>
  <c r="F44" s="1"/>
  <c r="G44" s="1"/>
  <c r="C45"/>
  <c r="F45" s="1"/>
  <c r="G45" s="1"/>
  <c r="C46"/>
  <c r="F46" s="1"/>
  <c r="G46" s="1"/>
  <c r="C47"/>
  <c r="F47" s="1"/>
  <c r="G47" s="1"/>
  <c r="C48"/>
  <c r="F48" s="1"/>
  <c r="G48" s="1"/>
  <c r="C49"/>
  <c r="F49" s="1"/>
  <c r="G49" s="1"/>
  <c r="C50"/>
  <c r="F50" s="1"/>
  <c r="G50" s="1"/>
  <c r="C51"/>
  <c r="F51" s="1"/>
  <c r="G51" s="1"/>
  <c r="C52"/>
  <c r="F52" s="1"/>
  <c r="G52" s="1"/>
  <c r="C53"/>
  <c r="F53" s="1"/>
  <c r="G53" s="1"/>
  <c r="C54"/>
  <c r="F54" s="1"/>
  <c r="G54" s="1"/>
  <c r="C55"/>
  <c r="F55" s="1"/>
  <c r="G55" s="1"/>
  <c r="C56"/>
  <c r="F56" s="1"/>
  <c r="G56" s="1"/>
  <c r="C57"/>
  <c r="F57" s="1"/>
  <c r="G57" s="1"/>
  <c r="C58"/>
  <c r="F58" s="1"/>
  <c r="G58" s="1"/>
  <c r="C37"/>
  <c r="F37" s="1"/>
  <c r="G37" s="1"/>
  <c r="D8" i="7" l="1"/>
  <c r="F8" s="1"/>
  <c r="M5"/>
  <c r="M6" s="1"/>
  <c r="D21"/>
  <c r="F21" s="1"/>
  <c r="D17"/>
  <c r="F17" s="1"/>
  <c r="D13"/>
  <c r="F13" s="1"/>
  <c r="G24"/>
  <c r="G22"/>
  <c r="G20"/>
  <c r="G18"/>
  <c r="G16"/>
  <c r="G14"/>
  <c r="G10"/>
  <c r="G8"/>
  <c r="G6"/>
  <c r="G23"/>
  <c r="G21"/>
  <c r="G19"/>
  <c r="G17"/>
  <c r="G15"/>
  <c r="G13"/>
  <c r="G9"/>
  <c r="G7"/>
  <c r="G5"/>
  <c r="G4"/>
  <c r="AK6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25" s="1"/>
  <c r="AK26" s="1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Y6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G12"/>
  <c r="G11"/>
  <c r="D11"/>
  <c r="F11" s="1"/>
  <c r="AJ119" i="4"/>
  <c r="AJ117"/>
  <c r="AJ105"/>
  <c r="AJ107"/>
  <c r="AJ116"/>
  <c r="AJ118"/>
  <c r="AJ104"/>
  <c r="AJ106"/>
  <c r="AJ95"/>
  <c r="AJ91"/>
  <c r="AJ87"/>
  <c r="AJ84"/>
  <c r="AJ86"/>
  <c r="AJ92"/>
  <c r="AJ94"/>
  <c r="AL92" s="1"/>
  <c r="AJ88"/>
  <c r="AJ90"/>
  <c r="AJ81"/>
  <c r="AJ77"/>
  <c r="AJ73"/>
  <c r="AJ79"/>
  <c r="AJ75"/>
  <c r="AJ72"/>
  <c r="AJ74"/>
  <c r="AJ80"/>
  <c r="AJ82"/>
  <c r="AJ76"/>
  <c r="AJ78"/>
  <c r="AJ69"/>
  <c r="AJ71"/>
  <c r="AJ67"/>
  <c r="AJ63"/>
  <c r="AJ60"/>
  <c r="AJ62"/>
  <c r="AJ68"/>
  <c r="AJ70"/>
  <c r="AJ64"/>
  <c r="AJ66"/>
  <c r="AJ27"/>
  <c r="AJ31"/>
  <c r="AJ35"/>
  <c r="AJ24"/>
  <c r="AJ28"/>
  <c r="AJ32"/>
  <c r="AJ53"/>
  <c r="AJ59"/>
  <c r="AJ55"/>
  <c r="AJ51"/>
  <c r="AJ48"/>
  <c r="AJ50"/>
  <c r="AJ56"/>
  <c r="AJ58"/>
  <c r="AJ52"/>
  <c r="AJ54"/>
  <c r="AJ47"/>
  <c r="AJ43"/>
  <c r="AJ39"/>
  <c r="AJ36"/>
  <c r="AJ38"/>
  <c r="AJ44"/>
  <c r="AJ46"/>
  <c r="AL44" s="1"/>
  <c r="AL45" s="1"/>
  <c r="AL46" s="1"/>
  <c r="AJ40"/>
  <c r="AJ42"/>
  <c r="BA3"/>
  <c r="BA7"/>
  <c r="CB2"/>
  <c r="BA11"/>
  <c r="M58"/>
  <c r="O65"/>
  <c r="O64"/>
  <c r="O70"/>
  <c r="O68"/>
  <c r="O73"/>
  <c r="Q86"/>
  <c r="I91"/>
  <c r="CB10"/>
  <c r="F3"/>
  <c r="D3"/>
  <c r="J5"/>
  <c r="H5"/>
  <c r="F5"/>
  <c r="D5"/>
  <c r="B5"/>
  <c r="G4"/>
  <c r="E4"/>
  <c r="C4"/>
  <c r="G3"/>
  <c r="E3"/>
  <c r="C3"/>
  <c r="I5"/>
  <c r="G5"/>
  <c r="E5"/>
  <c r="C5"/>
  <c r="H4"/>
  <c r="F4"/>
  <c r="D4"/>
  <c r="B4"/>
  <c r="K25"/>
  <c r="K32"/>
  <c r="K44"/>
  <c r="K48"/>
  <c r="M53"/>
  <c r="M51"/>
  <c r="M54"/>
  <c r="M55"/>
  <c r="M59"/>
  <c r="O74"/>
  <c r="O72"/>
  <c r="Q87"/>
  <c r="Q85"/>
  <c r="I92"/>
  <c r="I90"/>
  <c r="O66"/>
  <c r="O67"/>
  <c r="O69"/>
  <c r="BA6"/>
  <c r="BA4"/>
  <c r="BA12"/>
  <c r="BA9"/>
  <c r="CB5"/>
  <c r="CB9"/>
  <c r="CB13"/>
  <c r="O63"/>
  <c r="BA10"/>
  <c r="BA2"/>
  <c r="AL32"/>
  <c r="AL33" s="1"/>
  <c r="AL34" s="1"/>
  <c r="AL28"/>
  <c r="Y5" i="6"/>
  <c r="Y25"/>
  <c r="Q5"/>
  <c r="Q25"/>
  <c r="AN22"/>
  <c r="AN20"/>
  <c r="AN18"/>
  <c r="AN16"/>
  <c r="AN14"/>
  <c r="AN12"/>
  <c r="AN10"/>
  <c r="AN8"/>
  <c r="AN6"/>
  <c r="CB11" i="4"/>
  <c r="CB7"/>
  <c r="CB3"/>
  <c r="CB4"/>
  <c r="CB6"/>
  <c r="CB12"/>
  <c r="CB8"/>
  <c r="H23" i="6"/>
  <c r="AS22"/>
  <c r="AS20"/>
  <c r="AS18"/>
  <c r="AS16"/>
  <c r="AS14"/>
  <c r="AS12"/>
  <c r="AS10"/>
  <c r="AS8"/>
  <c r="AS6"/>
  <c r="H19"/>
  <c r="AI4"/>
  <c r="AI24"/>
  <c r="AI10"/>
  <c r="AI6"/>
  <c r="AI8"/>
  <c r="AI12"/>
  <c r="AI14"/>
  <c r="AI16"/>
  <c r="AI18"/>
  <c r="AI20"/>
  <c r="AI22"/>
  <c r="AR22"/>
  <c r="AR20"/>
  <c r="AR18"/>
  <c r="AR16"/>
  <c r="AR14"/>
  <c r="AR12"/>
  <c r="AR10"/>
  <c r="AR8"/>
  <c r="AR6"/>
  <c r="AM22"/>
  <c r="AM20"/>
  <c r="AM18"/>
  <c r="AM16"/>
  <c r="AM14"/>
  <c r="AM12"/>
  <c r="AM10"/>
  <c r="AM8"/>
  <c r="AM6"/>
  <c r="AH22"/>
  <c r="AH20"/>
  <c r="AH18"/>
  <c r="AH16"/>
  <c r="AH14"/>
  <c r="AH12"/>
  <c r="AH10"/>
  <c r="AH8"/>
  <c r="AH6"/>
  <c r="BC6" i="4"/>
  <c r="BC7" s="1"/>
  <c r="BC8" s="1"/>
  <c r="X19" i="6"/>
  <c r="X9"/>
  <c r="X11"/>
  <c r="X13"/>
  <c r="X7"/>
  <c r="AN4"/>
  <c r="AS4"/>
  <c r="H7"/>
  <c r="P7"/>
  <c r="H9"/>
  <c r="P9"/>
  <c r="H11"/>
  <c r="P11"/>
  <c r="H13"/>
  <c r="P13"/>
  <c r="H15"/>
  <c r="P15"/>
  <c r="X15"/>
  <c r="H17"/>
  <c r="P17"/>
  <c r="X17"/>
  <c r="P19"/>
  <c r="H21"/>
  <c r="P21"/>
  <c r="X21"/>
  <c r="P23"/>
  <c r="X23"/>
  <c r="AN24"/>
  <c r="U6"/>
  <c r="Y6" s="1"/>
  <c r="M6"/>
  <c r="Q6" s="1"/>
  <c r="E6"/>
  <c r="U8"/>
  <c r="Y8" s="1"/>
  <c r="M8"/>
  <c r="Q8" s="1"/>
  <c r="E8"/>
  <c r="U10"/>
  <c r="Y10" s="1"/>
  <c r="M10"/>
  <c r="Q10" s="1"/>
  <c r="E10"/>
  <c r="U12"/>
  <c r="Y12" s="1"/>
  <c r="M12"/>
  <c r="Q12" s="1"/>
  <c r="E12"/>
  <c r="U14"/>
  <c r="Y14" s="1"/>
  <c r="M14"/>
  <c r="Q14" s="1"/>
  <c r="E14"/>
  <c r="U16"/>
  <c r="Y16" s="1"/>
  <c r="M16"/>
  <c r="Q16" s="1"/>
  <c r="E16"/>
  <c r="U18"/>
  <c r="Y18" s="1"/>
  <c r="M18"/>
  <c r="Q18" s="1"/>
  <c r="E18"/>
  <c r="U20"/>
  <c r="Y20" s="1"/>
  <c r="M20"/>
  <c r="Q20" s="1"/>
  <c r="E20"/>
  <c r="U22"/>
  <c r="Y22" s="1"/>
  <c r="M22"/>
  <c r="Q22" s="1"/>
  <c r="E22"/>
  <c r="U24"/>
  <c r="Y24" s="1"/>
  <c r="M24"/>
  <c r="Q24" s="1"/>
  <c r="E24"/>
  <c r="AS24"/>
  <c r="AJ5"/>
  <c r="R6"/>
  <c r="AO5" s="1"/>
  <c r="Z6"/>
  <c r="AT5" s="1"/>
  <c r="I89" i="4"/>
  <c r="Q84"/>
  <c r="O71"/>
  <c r="B3"/>
  <c r="K27"/>
  <c r="M52"/>
  <c r="M57"/>
  <c r="M61"/>
  <c r="K24"/>
  <c r="K26"/>
  <c r="M60"/>
  <c r="M56"/>
  <c r="K28"/>
  <c r="K46"/>
  <c r="M50"/>
  <c r="Q79"/>
  <c r="Q77"/>
  <c r="Q83"/>
  <c r="Q81"/>
  <c r="Q76"/>
  <c r="Q78"/>
  <c r="Q80"/>
  <c r="Q82"/>
  <c r="K45"/>
  <c r="O50"/>
  <c r="O51" s="1"/>
  <c r="O52" s="1"/>
  <c r="K42"/>
  <c r="K38"/>
  <c r="K37"/>
  <c r="K40"/>
  <c r="K39"/>
  <c r="K41"/>
  <c r="K47"/>
  <c r="K43"/>
  <c r="K33"/>
  <c r="K29"/>
  <c r="K34"/>
  <c r="K35"/>
  <c r="K30"/>
  <c r="K31"/>
  <c r="D66" i="2"/>
  <c r="M252"/>
  <c r="M244"/>
  <c r="M236"/>
  <c r="M228"/>
  <c r="E305"/>
  <c r="E303"/>
  <c r="E301"/>
  <c r="E299"/>
  <c r="E297"/>
  <c r="E295"/>
  <c r="E293"/>
  <c r="E291"/>
  <c r="E289"/>
  <c r="E287"/>
  <c r="E285"/>
  <c r="E283"/>
  <c r="E281"/>
  <c r="E279"/>
  <c r="E277"/>
  <c r="C12" i="3"/>
  <c r="C17" s="1"/>
  <c r="C14"/>
  <c r="T110" i="2"/>
  <c r="T112"/>
  <c r="T114"/>
  <c r="T116"/>
  <c r="T118"/>
  <c r="T120"/>
  <c r="T122"/>
  <c r="T124"/>
  <c r="T126"/>
  <c r="T128"/>
  <c r="D130"/>
  <c r="AC254"/>
  <c r="M225"/>
  <c r="AC284"/>
  <c r="M255"/>
  <c r="AC282"/>
  <c r="M253"/>
  <c r="AC280"/>
  <c r="M251"/>
  <c r="AC278"/>
  <c r="M249"/>
  <c r="AC276"/>
  <c r="M247"/>
  <c r="AC274"/>
  <c r="M245"/>
  <c r="AC272"/>
  <c r="M243"/>
  <c r="AC270"/>
  <c r="M241"/>
  <c r="AC268"/>
  <c r="M239"/>
  <c r="AC266"/>
  <c r="M237"/>
  <c r="AC264"/>
  <c r="M235"/>
  <c r="AC262"/>
  <c r="M233"/>
  <c r="AC260"/>
  <c r="M231"/>
  <c r="AC258"/>
  <c r="M229"/>
  <c r="AC256"/>
  <c r="M227"/>
  <c r="AD303"/>
  <c r="E275"/>
  <c r="AE333"/>
  <c r="F305"/>
  <c r="AE331"/>
  <c r="F303"/>
  <c r="AE329"/>
  <c r="F301"/>
  <c r="AE327"/>
  <c r="F299"/>
  <c r="AE325"/>
  <c r="F297"/>
  <c r="AE323"/>
  <c r="F295"/>
  <c r="AE321"/>
  <c r="F293"/>
  <c r="AE319"/>
  <c r="F291"/>
  <c r="AE317"/>
  <c r="F289"/>
  <c r="AE315"/>
  <c r="F287"/>
  <c r="AE313"/>
  <c r="F285"/>
  <c r="AE311"/>
  <c r="F283"/>
  <c r="AE309"/>
  <c r="F281"/>
  <c r="AE307"/>
  <c r="F279"/>
  <c r="AE305"/>
  <c r="F277"/>
  <c r="L131"/>
  <c r="L129"/>
  <c r="L127"/>
  <c r="L125"/>
  <c r="L123"/>
  <c r="L121"/>
  <c r="L119"/>
  <c r="L117"/>
  <c r="L115"/>
  <c r="L113"/>
  <c r="L111"/>
  <c r="E255"/>
  <c r="E253"/>
  <c r="E251"/>
  <c r="E249"/>
  <c r="E247"/>
  <c r="E245"/>
  <c r="E243"/>
  <c r="E241"/>
  <c r="E239"/>
  <c r="E237"/>
  <c r="E235"/>
  <c r="E233"/>
  <c r="E231"/>
  <c r="E229"/>
  <c r="E227"/>
  <c r="E225"/>
  <c r="M254"/>
  <c r="M250"/>
  <c r="M246"/>
  <c r="M242"/>
  <c r="M238"/>
  <c r="M234"/>
  <c r="M230"/>
  <c r="M226"/>
  <c r="T109"/>
  <c r="D111"/>
  <c r="D113"/>
  <c r="D115"/>
  <c r="D117"/>
  <c r="D119"/>
  <c r="D121"/>
  <c r="D123"/>
  <c r="D125"/>
  <c r="D127"/>
  <c r="T129"/>
  <c r="T131"/>
  <c r="AM281"/>
  <c r="AM277"/>
  <c r="AM273"/>
  <c r="AM269"/>
  <c r="AM265"/>
  <c r="AM261"/>
  <c r="AM257"/>
  <c r="M276"/>
  <c r="AM304" s="1"/>
  <c r="AC304"/>
  <c r="M277"/>
  <c r="AM305" s="1"/>
  <c r="AC305"/>
  <c r="M278"/>
  <c r="AM306" s="1"/>
  <c r="AC306"/>
  <c r="M279"/>
  <c r="AM307" s="1"/>
  <c r="AC307"/>
  <c r="M280"/>
  <c r="AM308" s="1"/>
  <c r="AC308"/>
  <c r="M281"/>
  <c r="AM309" s="1"/>
  <c r="AC309"/>
  <c r="M282"/>
  <c r="AM310" s="1"/>
  <c r="AC310"/>
  <c r="M283"/>
  <c r="AM311" s="1"/>
  <c r="AC311"/>
  <c r="M284"/>
  <c r="AM312" s="1"/>
  <c r="AC312"/>
  <c r="M285"/>
  <c r="AM313" s="1"/>
  <c r="AC313"/>
  <c r="M286"/>
  <c r="AM314" s="1"/>
  <c r="AC314"/>
  <c r="M287"/>
  <c r="AM315" s="1"/>
  <c r="AC315"/>
  <c r="M288"/>
  <c r="AM316" s="1"/>
  <c r="AC316"/>
  <c r="M289"/>
  <c r="AM317" s="1"/>
  <c r="AC317"/>
  <c r="M290"/>
  <c r="AM318" s="1"/>
  <c r="AC318"/>
  <c r="M291"/>
  <c r="AM319" s="1"/>
  <c r="AC319"/>
  <c r="M292"/>
  <c r="AM320" s="1"/>
  <c r="AC320"/>
  <c r="M293"/>
  <c r="AM321" s="1"/>
  <c r="AC321"/>
  <c r="M294"/>
  <c r="AM322" s="1"/>
  <c r="AC322"/>
  <c r="M295"/>
  <c r="AM323" s="1"/>
  <c r="AC323"/>
  <c r="M296"/>
  <c r="AM324" s="1"/>
  <c r="AC324"/>
  <c r="M297"/>
  <c r="AM325" s="1"/>
  <c r="AC325"/>
  <c r="M298"/>
  <c r="AM326" s="1"/>
  <c r="AC326"/>
  <c r="M299"/>
  <c r="AM327" s="1"/>
  <c r="AC327"/>
  <c r="M300"/>
  <c r="AM328" s="1"/>
  <c r="AC328"/>
  <c r="M301"/>
  <c r="AM329" s="1"/>
  <c r="AC329"/>
  <c r="M302"/>
  <c r="AM330" s="1"/>
  <c r="AC330"/>
  <c r="M303"/>
  <c r="AM331" s="1"/>
  <c r="AC331"/>
  <c r="M304"/>
  <c r="AM332" s="1"/>
  <c r="AC332"/>
  <c r="M305"/>
  <c r="AM333" s="1"/>
  <c r="AC333"/>
  <c r="M306"/>
  <c r="AM334" s="1"/>
  <c r="AC334"/>
  <c r="AE334"/>
  <c r="F306"/>
  <c r="AE332"/>
  <c r="F304"/>
  <c r="AE330"/>
  <c r="F302"/>
  <c r="AE328"/>
  <c r="F300"/>
  <c r="AE326"/>
  <c r="F298"/>
  <c r="AE324"/>
  <c r="F296"/>
  <c r="AE322"/>
  <c r="F294"/>
  <c r="AE320"/>
  <c r="F292"/>
  <c r="AE318"/>
  <c r="F290"/>
  <c r="AE316"/>
  <c r="F288"/>
  <c r="AE314"/>
  <c r="F286"/>
  <c r="AE312"/>
  <c r="F284"/>
  <c r="AE310"/>
  <c r="F282"/>
  <c r="AE308"/>
  <c r="F280"/>
  <c r="AE306"/>
  <c r="F278"/>
  <c r="D74"/>
  <c r="D60"/>
  <c r="L130"/>
  <c r="L128"/>
  <c r="L126"/>
  <c r="L124"/>
  <c r="L122"/>
  <c r="L120"/>
  <c r="L118"/>
  <c r="L116"/>
  <c r="L114"/>
  <c r="L112"/>
  <c r="L110"/>
  <c r="B196"/>
  <c r="C196" s="1"/>
  <c r="B217"/>
  <c r="C217" s="1"/>
  <c r="B215"/>
  <c r="C215" s="1"/>
  <c r="B213"/>
  <c r="C213" s="1"/>
  <c r="B211"/>
  <c r="C211" s="1"/>
  <c r="B209"/>
  <c r="C209" s="1"/>
  <c r="B207"/>
  <c r="C207" s="1"/>
  <c r="B205"/>
  <c r="C205" s="1"/>
  <c r="B203"/>
  <c r="C203" s="1"/>
  <c r="B201"/>
  <c r="C201" s="1"/>
  <c r="B199"/>
  <c r="C199" s="1"/>
  <c r="B197"/>
  <c r="C197" s="1"/>
  <c r="E254"/>
  <c r="E252"/>
  <c r="E250"/>
  <c r="E248"/>
  <c r="E246"/>
  <c r="E244"/>
  <c r="E242"/>
  <c r="E240"/>
  <c r="E238"/>
  <c r="E236"/>
  <c r="E234"/>
  <c r="E232"/>
  <c r="E230"/>
  <c r="E228"/>
  <c r="E226"/>
  <c r="M224"/>
  <c r="AM253" s="1"/>
  <c r="F224"/>
  <c r="M275"/>
  <c r="AM303" s="1"/>
  <c r="E276"/>
  <c r="D57"/>
  <c r="D78"/>
  <c r="D76"/>
  <c r="D72"/>
  <c r="D70"/>
  <c r="D68"/>
  <c r="D64"/>
  <c r="D62"/>
  <c r="D58"/>
  <c r="E58" s="1"/>
  <c r="T78"/>
  <c r="T76"/>
  <c r="T74"/>
  <c r="T72"/>
  <c r="T70"/>
  <c r="T68"/>
  <c r="T66"/>
  <c r="T64"/>
  <c r="T62"/>
  <c r="T60"/>
  <c r="T58"/>
  <c r="U58" s="1"/>
  <c r="L57"/>
  <c r="L58"/>
  <c r="M58" s="1"/>
  <c r="Q58" s="1"/>
  <c r="M129"/>
  <c r="Q129" s="1"/>
  <c r="T130"/>
  <c r="D131"/>
  <c r="D129"/>
  <c r="D109"/>
  <c r="M5"/>
  <c r="N5" s="1"/>
  <c r="D79"/>
  <c r="D77"/>
  <c r="E77" s="1"/>
  <c r="D75"/>
  <c r="E75" s="1"/>
  <c r="D73"/>
  <c r="E73" s="1"/>
  <c r="D71"/>
  <c r="E71" s="1"/>
  <c r="D69"/>
  <c r="E69" s="1"/>
  <c r="D67"/>
  <c r="E67" s="1"/>
  <c r="D65"/>
  <c r="E65" s="1"/>
  <c r="D63"/>
  <c r="E63" s="1"/>
  <c r="D61"/>
  <c r="E61" s="1"/>
  <c r="D59"/>
  <c r="E59" s="1"/>
  <c r="T77"/>
  <c r="U77" s="1"/>
  <c r="Y77" s="1"/>
  <c r="T75"/>
  <c r="U75" s="1"/>
  <c r="Y75" s="1"/>
  <c r="T73"/>
  <c r="U73" s="1"/>
  <c r="Y73" s="1"/>
  <c r="T71"/>
  <c r="U71" s="1"/>
  <c r="Y71" s="1"/>
  <c r="T69"/>
  <c r="U69" s="1"/>
  <c r="Y69" s="1"/>
  <c r="T67"/>
  <c r="U67" s="1"/>
  <c r="Y67" s="1"/>
  <c r="T65"/>
  <c r="U65" s="1"/>
  <c r="Y65" s="1"/>
  <c r="T63"/>
  <c r="U63" s="1"/>
  <c r="Y63" s="1"/>
  <c r="T61"/>
  <c r="U61" s="1"/>
  <c r="Y61" s="1"/>
  <c r="T59"/>
  <c r="U59" s="1"/>
  <c r="Y59" s="1"/>
  <c r="T79"/>
  <c r="U79" s="1"/>
  <c r="Y79" s="1"/>
  <c r="M130"/>
  <c r="Q130" s="1"/>
  <c r="D128"/>
  <c r="D126"/>
  <c r="D124"/>
  <c r="D122"/>
  <c r="D120"/>
  <c r="D118"/>
  <c r="D116"/>
  <c r="D114"/>
  <c r="D112"/>
  <c r="D110"/>
  <c r="M128"/>
  <c r="Q128" s="1"/>
  <c r="M126"/>
  <c r="Q126" s="1"/>
  <c r="M124"/>
  <c r="Q124" s="1"/>
  <c r="M122"/>
  <c r="Q122" s="1"/>
  <c r="M120"/>
  <c r="Q120" s="1"/>
  <c r="M118"/>
  <c r="Q118" s="1"/>
  <c r="M116"/>
  <c r="Q116" s="1"/>
  <c r="M114"/>
  <c r="Q114" s="1"/>
  <c r="M112"/>
  <c r="Q112" s="1"/>
  <c r="M110"/>
  <c r="Q110" s="1"/>
  <c r="M127"/>
  <c r="Q127" s="1"/>
  <c r="M125"/>
  <c r="Q125" s="1"/>
  <c r="M123"/>
  <c r="Q123" s="1"/>
  <c r="M121"/>
  <c r="Q121" s="1"/>
  <c r="M119"/>
  <c r="Q119" s="1"/>
  <c r="M117"/>
  <c r="Q117" s="1"/>
  <c r="M115"/>
  <c r="Q115" s="1"/>
  <c r="M113"/>
  <c r="Q113" s="1"/>
  <c r="M111"/>
  <c r="Q111" s="1"/>
  <c r="E127"/>
  <c r="I127" s="1"/>
  <c r="E125"/>
  <c r="I125" s="1"/>
  <c r="E123"/>
  <c r="I123" s="1"/>
  <c r="E121"/>
  <c r="I121" s="1"/>
  <c r="E119"/>
  <c r="I119" s="1"/>
  <c r="E117"/>
  <c r="I117" s="1"/>
  <c r="E115"/>
  <c r="I115" s="1"/>
  <c r="E113"/>
  <c r="I113" s="1"/>
  <c r="E111"/>
  <c r="I111" s="1"/>
  <c r="T127"/>
  <c r="T125"/>
  <c r="T123"/>
  <c r="T121"/>
  <c r="T119"/>
  <c r="T117"/>
  <c r="T115"/>
  <c r="T113"/>
  <c r="T111"/>
  <c r="B178"/>
  <c r="N113"/>
  <c r="N117"/>
  <c r="N121"/>
  <c r="N125"/>
  <c r="N129"/>
  <c r="N114"/>
  <c r="N116"/>
  <c r="N118"/>
  <c r="N120"/>
  <c r="N122"/>
  <c r="N124"/>
  <c r="N126"/>
  <c r="N128"/>
  <c r="N130"/>
  <c r="E120"/>
  <c r="I120" s="1"/>
  <c r="E128"/>
  <c r="I128" s="1"/>
  <c r="E124"/>
  <c r="I124" s="1"/>
  <c r="E116"/>
  <c r="I116" s="1"/>
  <c r="E112"/>
  <c r="I112" s="1"/>
  <c r="E110"/>
  <c r="I110" s="1"/>
  <c r="E114"/>
  <c r="I114" s="1"/>
  <c r="E118"/>
  <c r="I118" s="1"/>
  <c r="E122"/>
  <c r="I122" s="1"/>
  <c r="E126"/>
  <c r="I126" s="1"/>
  <c r="B179"/>
  <c r="B180"/>
  <c r="B175"/>
  <c r="B181" s="1"/>
  <c r="E130"/>
  <c r="I130" s="1"/>
  <c r="F120"/>
  <c r="V77"/>
  <c r="W77" s="1"/>
  <c r="X77" s="1"/>
  <c r="N58"/>
  <c r="R59"/>
  <c r="R60" s="1"/>
  <c r="N59"/>
  <c r="V59"/>
  <c r="N61"/>
  <c r="V61"/>
  <c r="N63"/>
  <c r="V63"/>
  <c r="N65"/>
  <c r="V65"/>
  <c r="N67"/>
  <c r="V67"/>
  <c r="N69"/>
  <c r="V69"/>
  <c r="N71"/>
  <c r="V71"/>
  <c r="N73"/>
  <c r="V73"/>
  <c r="N75"/>
  <c r="V75"/>
  <c r="N77"/>
  <c r="U60"/>
  <c r="Y60" s="1"/>
  <c r="M60"/>
  <c r="Q60" s="1"/>
  <c r="E60"/>
  <c r="U62"/>
  <c r="Y62" s="1"/>
  <c r="M62"/>
  <c r="Q62" s="1"/>
  <c r="E62"/>
  <c r="U64"/>
  <c r="Y64" s="1"/>
  <c r="M64"/>
  <c r="Q64" s="1"/>
  <c r="E64"/>
  <c r="U66"/>
  <c r="Y66" s="1"/>
  <c r="M66"/>
  <c r="Q66" s="1"/>
  <c r="E66"/>
  <c r="U68"/>
  <c r="Y68" s="1"/>
  <c r="M68"/>
  <c r="Q68" s="1"/>
  <c r="E68"/>
  <c r="U70"/>
  <c r="Y70" s="1"/>
  <c r="M70"/>
  <c r="Q70" s="1"/>
  <c r="E70"/>
  <c r="U72"/>
  <c r="Y72" s="1"/>
  <c r="M72"/>
  <c r="Q72" s="1"/>
  <c r="E72"/>
  <c r="U74"/>
  <c r="Y74" s="1"/>
  <c r="M74"/>
  <c r="Q74" s="1"/>
  <c r="E74"/>
  <c r="U76"/>
  <c r="Y76" s="1"/>
  <c r="M76"/>
  <c r="Q76" s="1"/>
  <c r="E76"/>
  <c r="U78"/>
  <c r="Y78" s="1"/>
  <c r="M78"/>
  <c r="Q78" s="1"/>
  <c r="E78"/>
  <c r="R5"/>
  <c r="Q25"/>
  <c r="Q23"/>
  <c r="Q21"/>
  <c r="Q19"/>
  <c r="Q17"/>
  <c r="Q15"/>
  <c r="Q13"/>
  <c r="Q11"/>
  <c r="Q9"/>
  <c r="Q7"/>
  <c r="Q5"/>
  <c r="D25"/>
  <c r="E25" s="1"/>
  <c r="F25" s="1"/>
  <c r="D23"/>
  <c r="E23" s="1"/>
  <c r="F23" s="1"/>
  <c r="D21"/>
  <c r="E21" s="1"/>
  <c r="F21" s="1"/>
  <c r="D19"/>
  <c r="E19" s="1"/>
  <c r="F19" s="1"/>
  <c r="D17"/>
  <c r="E17" s="1"/>
  <c r="F17" s="1"/>
  <c r="D15"/>
  <c r="E15" s="1"/>
  <c r="F15" s="1"/>
  <c r="D13"/>
  <c r="E13" s="1"/>
  <c r="F13" s="1"/>
  <c r="D11"/>
  <c r="E11" s="1"/>
  <c r="F11" s="1"/>
  <c r="D9"/>
  <c r="E9" s="1"/>
  <c r="F9" s="1"/>
  <c r="D7"/>
  <c r="E7" s="1"/>
  <c r="F7" s="1"/>
  <c r="D5"/>
  <c r="E5" s="1"/>
  <c r="F5" s="1"/>
  <c r="T26"/>
  <c r="U26" s="1"/>
  <c r="Y26" s="1"/>
  <c r="T24"/>
  <c r="U24" s="1"/>
  <c r="T22"/>
  <c r="U22" s="1"/>
  <c r="T20"/>
  <c r="U20" s="1"/>
  <c r="T18"/>
  <c r="U18" s="1"/>
  <c r="T16"/>
  <c r="U16" s="1"/>
  <c r="T14"/>
  <c r="U14" s="1"/>
  <c r="T12"/>
  <c r="U12" s="1"/>
  <c r="T10"/>
  <c r="U10" s="1"/>
  <c r="T8"/>
  <c r="U8" s="1"/>
  <c r="T6"/>
  <c r="U6" s="1"/>
  <c r="Q24"/>
  <c r="Q22"/>
  <c r="Q20"/>
  <c r="Q18"/>
  <c r="Q16"/>
  <c r="Q14"/>
  <c r="Q12"/>
  <c r="Q10"/>
  <c r="Q8"/>
  <c r="Q6"/>
  <c r="D4"/>
  <c r="D24"/>
  <c r="E24" s="1"/>
  <c r="F24" s="1"/>
  <c r="D22"/>
  <c r="E22" s="1"/>
  <c r="F22" s="1"/>
  <c r="D20"/>
  <c r="E20" s="1"/>
  <c r="F20" s="1"/>
  <c r="D18"/>
  <c r="E18" s="1"/>
  <c r="F18" s="1"/>
  <c r="D16"/>
  <c r="E16" s="1"/>
  <c r="F16" s="1"/>
  <c r="D14"/>
  <c r="E14" s="1"/>
  <c r="F14" s="1"/>
  <c r="D12"/>
  <c r="E12" s="1"/>
  <c r="F12" s="1"/>
  <c r="D10"/>
  <c r="E10" s="1"/>
  <c r="F10" s="1"/>
  <c r="D8"/>
  <c r="E8" s="1"/>
  <c r="F8" s="1"/>
  <c r="D6"/>
  <c r="E6" s="1"/>
  <c r="F6" s="1"/>
  <c r="T4"/>
  <c r="T25"/>
  <c r="U25" s="1"/>
  <c r="T23"/>
  <c r="U23" s="1"/>
  <c r="T21"/>
  <c r="U21" s="1"/>
  <c r="T19"/>
  <c r="U19" s="1"/>
  <c r="T17"/>
  <c r="U17" s="1"/>
  <c r="T15"/>
  <c r="U15" s="1"/>
  <c r="T13"/>
  <c r="U13" s="1"/>
  <c r="T11"/>
  <c r="U11" s="1"/>
  <c r="T9"/>
  <c r="U9" s="1"/>
  <c r="T7"/>
  <c r="U7" s="1"/>
  <c r="T5"/>
  <c r="U5" s="1"/>
  <c r="Z5"/>
  <c r="V4"/>
  <c r="J5" i="1"/>
  <c r="J37"/>
  <c r="F80"/>
  <c r="G80" s="1"/>
  <c r="H80" s="1"/>
  <c r="F78"/>
  <c r="G78" s="1"/>
  <c r="H78" s="1"/>
  <c r="F76"/>
  <c r="G76" s="1"/>
  <c r="H76" s="1"/>
  <c r="F74"/>
  <c r="G74" s="1"/>
  <c r="H74" s="1"/>
  <c r="F72"/>
  <c r="G72" s="1"/>
  <c r="H72" s="1"/>
  <c r="F70"/>
  <c r="G70" s="1"/>
  <c r="H70" s="1"/>
  <c r="F68"/>
  <c r="G68" s="1"/>
  <c r="H68" s="1"/>
  <c r="F86"/>
  <c r="G86" s="1"/>
  <c r="H86" s="1"/>
  <c r="F67"/>
  <c r="G67" s="1"/>
  <c r="H67" s="1"/>
  <c r="F65"/>
  <c r="J66"/>
  <c r="H56"/>
  <c r="H52"/>
  <c r="H50"/>
  <c r="H46"/>
  <c r="H37"/>
  <c r="H57"/>
  <c r="H55"/>
  <c r="H53"/>
  <c r="H51"/>
  <c r="H49"/>
  <c r="H47"/>
  <c r="H45"/>
  <c r="H43"/>
  <c r="H41"/>
  <c r="H39"/>
  <c r="H58"/>
  <c r="H54"/>
  <c r="H48"/>
  <c r="H44"/>
  <c r="H42"/>
  <c r="H40"/>
  <c r="H38"/>
  <c r="F3"/>
  <c r="I7" i="7" l="1"/>
  <c r="H7"/>
  <c r="I13"/>
  <c r="H13"/>
  <c r="I17"/>
  <c r="H17"/>
  <c r="I21"/>
  <c r="H21"/>
  <c r="I25"/>
  <c r="H25"/>
  <c r="I8"/>
  <c r="H8"/>
  <c r="I14"/>
  <c r="H14"/>
  <c r="I18"/>
  <c r="H18"/>
  <c r="I22"/>
  <c r="H22"/>
  <c r="I5"/>
  <c r="H5"/>
  <c r="I9"/>
  <c r="H9"/>
  <c r="I15"/>
  <c r="H15"/>
  <c r="I19"/>
  <c r="H19"/>
  <c r="I23"/>
  <c r="H23"/>
  <c r="I6"/>
  <c r="H6"/>
  <c r="I10"/>
  <c r="H10"/>
  <c r="I16"/>
  <c r="H16"/>
  <c r="I20"/>
  <c r="H20"/>
  <c r="I24"/>
  <c r="H24"/>
  <c r="I4"/>
  <c r="H4"/>
  <c r="J4" s="1"/>
  <c r="AE24"/>
  <c r="AE22"/>
  <c r="AE20"/>
  <c r="AE18"/>
  <c r="AE16"/>
  <c r="AE14"/>
  <c r="AE12"/>
  <c r="AE10"/>
  <c r="AE8"/>
  <c r="AE6"/>
  <c r="AE4"/>
  <c r="AE25"/>
  <c r="AE23"/>
  <c r="AE21"/>
  <c r="AE19"/>
  <c r="AE17"/>
  <c r="AE15"/>
  <c r="AE13"/>
  <c r="AE11"/>
  <c r="AE9"/>
  <c r="AE7"/>
  <c r="AE5"/>
  <c r="S24"/>
  <c r="S22"/>
  <c r="S20"/>
  <c r="S18"/>
  <c r="S16"/>
  <c r="S14"/>
  <c r="S12"/>
  <c r="S10"/>
  <c r="S8"/>
  <c r="S6"/>
  <c r="S4"/>
  <c r="S25"/>
  <c r="S23"/>
  <c r="S21"/>
  <c r="S19"/>
  <c r="S17"/>
  <c r="S15"/>
  <c r="S13"/>
  <c r="S11"/>
  <c r="S9"/>
  <c r="S7"/>
  <c r="S5"/>
  <c r="I12"/>
  <c r="H12"/>
  <c r="I11"/>
  <c r="H11"/>
  <c r="M7"/>
  <c r="AL116" i="4"/>
  <c r="AL117" s="1"/>
  <c r="AL118" s="1"/>
  <c r="AL104"/>
  <c r="AL105" s="1"/>
  <c r="AL106" s="1"/>
  <c r="AL93"/>
  <c r="AL94" s="1"/>
  <c r="AL88"/>
  <c r="AL89" s="1"/>
  <c r="AL90" s="1"/>
  <c r="AL84"/>
  <c r="AL85" s="1"/>
  <c r="AL86" s="1"/>
  <c r="AL80"/>
  <c r="AL81" s="1"/>
  <c r="AL82" s="1"/>
  <c r="AL76"/>
  <c r="AL77" s="1"/>
  <c r="AL78" s="1"/>
  <c r="AL72"/>
  <c r="AL73" s="1"/>
  <c r="AL74" s="1"/>
  <c r="AL68"/>
  <c r="AL69" s="1"/>
  <c r="AL70" s="1"/>
  <c r="AL64"/>
  <c r="AL65" s="1"/>
  <c r="AL66" s="1"/>
  <c r="AL60"/>
  <c r="AL61" s="1"/>
  <c r="AL62" s="1"/>
  <c r="AL56"/>
  <c r="AL57" s="1"/>
  <c r="AL58" s="1"/>
  <c r="AL52"/>
  <c r="AL53" s="1"/>
  <c r="AL54" s="1"/>
  <c r="AL48"/>
  <c r="AL49" s="1"/>
  <c r="AL50" s="1"/>
  <c r="AL40"/>
  <c r="AL41" s="1"/>
  <c r="AL42" s="1"/>
  <c r="AL36"/>
  <c r="AL37" s="1"/>
  <c r="AL38" s="1"/>
  <c r="AL24"/>
  <c r="BD21"/>
  <c r="BD23"/>
  <c r="BD25"/>
  <c r="BD27"/>
  <c r="BD29"/>
  <c r="BD31"/>
  <c r="BD33"/>
  <c r="BD35"/>
  <c r="BD37"/>
  <c r="BD39"/>
  <c r="BD41"/>
  <c r="BD43"/>
  <c r="BD45"/>
  <c r="BD47"/>
  <c r="BD49"/>
  <c r="BD51"/>
  <c r="BD53"/>
  <c r="BD55"/>
  <c r="BD57"/>
  <c r="BD59"/>
  <c r="BD61"/>
  <c r="BD63"/>
  <c r="BD65"/>
  <c r="BD67"/>
  <c r="BD69"/>
  <c r="BD71"/>
  <c r="BD73"/>
  <c r="BD75"/>
  <c r="BD77"/>
  <c r="BD79"/>
  <c r="BD81"/>
  <c r="BD83"/>
  <c r="BD85"/>
  <c r="BD87"/>
  <c r="BD89"/>
  <c r="BD91"/>
  <c r="BD93"/>
  <c r="BD95"/>
  <c r="BD97"/>
  <c r="BD99"/>
  <c r="BD20"/>
  <c r="BD22"/>
  <c r="BD24"/>
  <c r="BD26"/>
  <c r="BD28"/>
  <c r="BD30"/>
  <c r="BD32"/>
  <c r="BD34"/>
  <c r="BD36"/>
  <c r="BD38"/>
  <c r="BD40"/>
  <c r="BD42"/>
  <c r="BD44"/>
  <c r="BD46"/>
  <c r="BD48"/>
  <c r="BD50"/>
  <c r="BD52"/>
  <c r="BD54"/>
  <c r="BD56"/>
  <c r="BD58"/>
  <c r="BD60"/>
  <c r="BD62"/>
  <c r="BD64"/>
  <c r="BD66"/>
  <c r="BD68"/>
  <c r="BD70"/>
  <c r="BD72"/>
  <c r="BD74"/>
  <c r="BD76"/>
  <c r="BD78"/>
  <c r="BD80"/>
  <c r="BD82"/>
  <c r="BD84"/>
  <c r="BD86"/>
  <c r="BD88"/>
  <c r="BD90"/>
  <c r="BD92"/>
  <c r="BD94"/>
  <c r="BD96"/>
  <c r="BD98"/>
  <c r="BD19"/>
  <c r="AL25"/>
  <c r="AL26" s="1"/>
  <c r="AL29"/>
  <c r="AL30" s="1"/>
  <c r="AM21" i="6"/>
  <c r="AM17"/>
  <c r="AM13"/>
  <c r="AM9"/>
  <c r="AM5"/>
  <c r="AM23"/>
  <c r="AM19"/>
  <c r="AN19"/>
  <c r="AM15"/>
  <c r="AN15"/>
  <c r="AM11"/>
  <c r="AN11"/>
  <c r="AM7"/>
  <c r="AN7"/>
  <c r="CD10" i="4"/>
  <c r="CD11" s="1"/>
  <c r="CD12" s="1"/>
  <c r="CD6"/>
  <c r="CD7" s="1"/>
  <c r="CD8" s="1"/>
  <c r="CD2"/>
  <c r="CD3" s="1"/>
  <c r="CD4" s="1"/>
  <c r="AR21" i="6"/>
  <c r="AR17"/>
  <c r="AR13"/>
  <c r="AR9"/>
  <c r="AR5"/>
  <c r="AR23"/>
  <c r="AR19"/>
  <c r="AR15"/>
  <c r="AR11"/>
  <c r="AR7"/>
  <c r="AH23"/>
  <c r="AH19"/>
  <c r="AH15"/>
  <c r="AH11"/>
  <c r="AH7"/>
  <c r="AH21"/>
  <c r="AH17"/>
  <c r="AH13"/>
  <c r="AH9"/>
  <c r="AH5"/>
  <c r="BC10" i="4"/>
  <c r="BC11" s="1"/>
  <c r="BC12" s="1"/>
  <c r="BC2"/>
  <c r="BC3" s="1"/>
  <c r="BC4" s="1"/>
  <c r="X25" i="6"/>
  <c r="H25"/>
  <c r="AN23"/>
  <c r="AI21"/>
  <c r="AS21"/>
  <c r="AI17"/>
  <c r="AS17"/>
  <c r="AI13"/>
  <c r="AS13"/>
  <c r="AI9"/>
  <c r="AS9"/>
  <c r="AS5"/>
  <c r="P25"/>
  <c r="Z7"/>
  <c r="AI23"/>
  <c r="AS23"/>
  <c r="AN21"/>
  <c r="AI19"/>
  <c r="AS19"/>
  <c r="AN17"/>
  <c r="AI15"/>
  <c r="AS15"/>
  <c r="AN13"/>
  <c r="AI11"/>
  <c r="AS11"/>
  <c r="AN9"/>
  <c r="AI7"/>
  <c r="AS7"/>
  <c r="AN5"/>
  <c r="AA5"/>
  <c r="X5"/>
  <c r="S5"/>
  <c r="P5"/>
  <c r="K5"/>
  <c r="H5"/>
  <c r="R7"/>
  <c r="M24" i="4"/>
  <c r="M25" s="1"/>
  <c r="M26" s="1"/>
  <c r="K89"/>
  <c r="K90" s="1"/>
  <c r="K91" s="1"/>
  <c r="S80"/>
  <c r="S81" s="1"/>
  <c r="S82" s="1"/>
  <c r="S85"/>
  <c r="S86" s="1"/>
  <c r="S76"/>
  <c r="S77" s="1"/>
  <c r="S78" s="1"/>
  <c r="Q67"/>
  <c r="Q68" s="1"/>
  <c r="Q69" s="1"/>
  <c r="Q71"/>
  <c r="Q72" s="1"/>
  <c r="Q73" s="1"/>
  <c r="Q63"/>
  <c r="Q64" s="1"/>
  <c r="Q65" s="1"/>
  <c r="O58"/>
  <c r="O59" s="1"/>
  <c r="O60" s="1"/>
  <c r="O54"/>
  <c r="M45"/>
  <c r="M46" s="1"/>
  <c r="M47" s="1"/>
  <c r="O55"/>
  <c r="O56" s="1"/>
  <c r="M41"/>
  <c r="M37"/>
  <c r="M38" s="1"/>
  <c r="M39" s="1"/>
  <c r="M42"/>
  <c r="M43" s="1"/>
  <c r="M32"/>
  <c r="M33" s="1"/>
  <c r="M34" s="1"/>
  <c r="M28"/>
  <c r="M29" s="1"/>
  <c r="M30" s="1"/>
  <c r="F114" i="2"/>
  <c r="H15" i="3"/>
  <c r="H17" s="1"/>
  <c r="H14"/>
  <c r="H16" s="1"/>
  <c r="R111" i="2"/>
  <c r="F276"/>
  <c r="AE304"/>
  <c r="AF253"/>
  <c r="K224"/>
  <c r="G224"/>
  <c r="AE255"/>
  <c r="F226"/>
  <c r="AE259"/>
  <c r="F230"/>
  <c r="AE263"/>
  <c r="F234"/>
  <c r="AE267"/>
  <c r="F238"/>
  <c r="AE271"/>
  <c r="F242"/>
  <c r="AE275"/>
  <c r="F246"/>
  <c r="AE279"/>
  <c r="F250"/>
  <c r="AE283"/>
  <c r="F254"/>
  <c r="AF306"/>
  <c r="K278"/>
  <c r="Q278"/>
  <c r="G278"/>
  <c r="AF308"/>
  <c r="K280"/>
  <c r="Q280"/>
  <c r="G280"/>
  <c r="AF310"/>
  <c r="K282"/>
  <c r="Q282"/>
  <c r="G282"/>
  <c r="AF312"/>
  <c r="K284"/>
  <c r="Q284"/>
  <c r="G284"/>
  <c r="AF314"/>
  <c r="K286"/>
  <c r="Q286"/>
  <c r="G286"/>
  <c r="AF316"/>
  <c r="K288"/>
  <c r="Q288"/>
  <c r="G288"/>
  <c r="AF318"/>
  <c r="K290"/>
  <c r="Q290"/>
  <c r="G290"/>
  <c r="AF320"/>
  <c r="K292"/>
  <c r="Q292"/>
  <c r="G292"/>
  <c r="AF322"/>
  <c r="K294"/>
  <c r="Q294"/>
  <c r="G294"/>
  <c r="AF324"/>
  <c r="K296"/>
  <c r="Q296"/>
  <c r="G296"/>
  <c r="AF326"/>
  <c r="K298"/>
  <c r="Q298"/>
  <c r="G298"/>
  <c r="AF328"/>
  <c r="K300"/>
  <c r="Q300"/>
  <c r="G300"/>
  <c r="AF330"/>
  <c r="K302"/>
  <c r="Q302"/>
  <c r="G302"/>
  <c r="AF332"/>
  <c r="K304"/>
  <c r="Q304"/>
  <c r="G304"/>
  <c r="AF334"/>
  <c r="K306"/>
  <c r="Q306"/>
  <c r="G306"/>
  <c r="AM255"/>
  <c r="AM263"/>
  <c r="AM271"/>
  <c r="AM279"/>
  <c r="AE254"/>
  <c r="F225"/>
  <c r="AE258"/>
  <c r="F229"/>
  <c r="AE262"/>
  <c r="F233"/>
  <c r="AE266"/>
  <c r="F237"/>
  <c r="AE270"/>
  <c r="F241"/>
  <c r="AE274"/>
  <c r="F245"/>
  <c r="AE278"/>
  <c r="F249"/>
  <c r="AE282"/>
  <c r="F253"/>
  <c r="N112"/>
  <c r="N127"/>
  <c r="N123"/>
  <c r="N119"/>
  <c r="N115"/>
  <c r="E129"/>
  <c r="AE257"/>
  <c r="F228"/>
  <c r="AE261"/>
  <c r="F232"/>
  <c r="AE265"/>
  <c r="F236"/>
  <c r="AE269"/>
  <c r="F240"/>
  <c r="AE273"/>
  <c r="F244"/>
  <c r="AE277"/>
  <c r="F248"/>
  <c r="AE281"/>
  <c r="F252"/>
  <c r="AM259"/>
  <c r="AM267"/>
  <c r="AM275"/>
  <c r="AM283"/>
  <c r="AE256"/>
  <c r="F227"/>
  <c r="AE260"/>
  <c r="F231"/>
  <c r="AE264"/>
  <c r="F235"/>
  <c r="AE268"/>
  <c r="F239"/>
  <c r="AE272"/>
  <c r="F243"/>
  <c r="AE276"/>
  <c r="F247"/>
  <c r="AE280"/>
  <c r="F251"/>
  <c r="AE284"/>
  <c r="F255"/>
  <c r="AF305"/>
  <c r="K277"/>
  <c r="Q277"/>
  <c r="G277"/>
  <c r="AF307"/>
  <c r="K279"/>
  <c r="Q279"/>
  <c r="G279"/>
  <c r="AF309"/>
  <c r="K281"/>
  <c r="Q281"/>
  <c r="G281"/>
  <c r="AF311"/>
  <c r="K283"/>
  <c r="Q283"/>
  <c r="G283"/>
  <c r="AF313"/>
  <c r="K285"/>
  <c r="Q285"/>
  <c r="G285"/>
  <c r="AF315"/>
  <c r="K287"/>
  <c r="Q287"/>
  <c r="G287"/>
  <c r="AF317"/>
  <c r="K289"/>
  <c r="Q289"/>
  <c r="G289"/>
  <c r="AF319"/>
  <c r="K291"/>
  <c r="Q291"/>
  <c r="G291"/>
  <c r="AF321"/>
  <c r="K293"/>
  <c r="Q293"/>
  <c r="G293"/>
  <c r="AF323"/>
  <c r="K295"/>
  <c r="Q295"/>
  <c r="G295"/>
  <c r="AF325"/>
  <c r="K297"/>
  <c r="Q297"/>
  <c r="G297"/>
  <c r="AF327"/>
  <c r="K299"/>
  <c r="Q299"/>
  <c r="G299"/>
  <c r="AF329"/>
  <c r="K301"/>
  <c r="Q301"/>
  <c r="G301"/>
  <c r="AF331"/>
  <c r="K303"/>
  <c r="Q303"/>
  <c r="G303"/>
  <c r="AF333"/>
  <c r="K305"/>
  <c r="Q305"/>
  <c r="G305"/>
  <c r="AE303"/>
  <c r="F275"/>
  <c r="AM256"/>
  <c r="AM258"/>
  <c r="AM260"/>
  <c r="AM262"/>
  <c r="AM264"/>
  <c r="AM266"/>
  <c r="AM268"/>
  <c r="AM270"/>
  <c r="AM272"/>
  <c r="AM274"/>
  <c r="AM276"/>
  <c r="AM278"/>
  <c r="AM280"/>
  <c r="AM282"/>
  <c r="AM284"/>
  <c r="AM254"/>
  <c r="N110"/>
  <c r="Y58"/>
  <c r="Z59" s="1"/>
  <c r="Z60" s="1"/>
  <c r="V58"/>
  <c r="Y7"/>
  <c r="V7"/>
  <c r="Y15"/>
  <c r="V15"/>
  <c r="Y23"/>
  <c r="V23"/>
  <c r="Y5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V5"/>
  <c r="AA5" s="1"/>
  <c r="Y9"/>
  <c r="V9"/>
  <c r="Y13"/>
  <c r="V13"/>
  <c r="Y17"/>
  <c r="V17"/>
  <c r="Y21"/>
  <c r="V21"/>
  <c r="Y25"/>
  <c r="V25"/>
  <c r="Y8"/>
  <c r="V8"/>
  <c r="Y12"/>
  <c r="V12"/>
  <c r="Y16"/>
  <c r="V16"/>
  <c r="Y20"/>
  <c r="V20"/>
  <c r="Y24"/>
  <c r="V24"/>
  <c r="I76"/>
  <c r="F76"/>
  <c r="I72"/>
  <c r="F72"/>
  <c r="I68"/>
  <c r="F68"/>
  <c r="I64"/>
  <c r="F64"/>
  <c r="I60"/>
  <c r="F60"/>
  <c r="I59"/>
  <c r="F59"/>
  <c r="I63"/>
  <c r="F63"/>
  <c r="I67"/>
  <c r="F67"/>
  <c r="I71"/>
  <c r="F71"/>
  <c r="I75"/>
  <c r="F75"/>
  <c r="O5"/>
  <c r="P5" s="1"/>
  <c r="S5"/>
  <c r="I58"/>
  <c r="J59" s="1"/>
  <c r="J60" s="1"/>
  <c r="F58"/>
  <c r="N111"/>
  <c r="Y11"/>
  <c r="V11"/>
  <c r="W11" s="1"/>
  <c r="X11" s="1"/>
  <c r="Y19"/>
  <c r="V19"/>
  <c r="Y6"/>
  <c r="V6"/>
  <c r="Y10"/>
  <c r="V10"/>
  <c r="Y14"/>
  <c r="V14"/>
  <c r="Y18"/>
  <c r="V18"/>
  <c r="Y22"/>
  <c r="V22"/>
  <c r="I78"/>
  <c r="F78"/>
  <c r="I74"/>
  <c r="F74"/>
  <c r="I70"/>
  <c r="F70"/>
  <c r="I66"/>
  <c r="F66"/>
  <c r="I62"/>
  <c r="F62"/>
  <c r="I61"/>
  <c r="F61"/>
  <c r="G61" s="1"/>
  <c r="H61" s="1"/>
  <c r="I65"/>
  <c r="F65"/>
  <c r="I69"/>
  <c r="F69"/>
  <c r="G69" s="1"/>
  <c r="H69" s="1"/>
  <c r="I73"/>
  <c r="F73"/>
  <c r="I77"/>
  <c r="F77"/>
  <c r="G77" s="1"/>
  <c r="H77" s="1"/>
  <c r="F122"/>
  <c r="F113"/>
  <c r="G113" s="1"/>
  <c r="H113" s="1"/>
  <c r="F117"/>
  <c r="F121"/>
  <c r="G121" s="1"/>
  <c r="H121" s="1"/>
  <c r="F125"/>
  <c r="F111"/>
  <c r="F115"/>
  <c r="F119"/>
  <c r="F123"/>
  <c r="F127"/>
  <c r="J111"/>
  <c r="F130"/>
  <c r="F126"/>
  <c r="F118"/>
  <c r="O130"/>
  <c r="P130" s="1"/>
  <c r="O128"/>
  <c r="P128" s="1"/>
  <c r="O126"/>
  <c r="P126" s="1"/>
  <c r="O124"/>
  <c r="P124" s="1"/>
  <c r="O122"/>
  <c r="P122" s="1"/>
  <c r="O120"/>
  <c r="P120" s="1"/>
  <c r="O118"/>
  <c r="P118" s="1"/>
  <c r="O116"/>
  <c r="P116" s="1"/>
  <c r="O114"/>
  <c r="P114" s="1"/>
  <c r="O112"/>
  <c r="P112" s="1"/>
  <c r="O129"/>
  <c r="P129" s="1"/>
  <c r="O127"/>
  <c r="P127" s="1"/>
  <c r="O125"/>
  <c r="P125" s="1"/>
  <c r="O123"/>
  <c r="P123" s="1"/>
  <c r="O121"/>
  <c r="P121" s="1"/>
  <c r="O119"/>
  <c r="P119" s="1"/>
  <c r="O117"/>
  <c r="P117" s="1"/>
  <c r="O115"/>
  <c r="P115" s="1"/>
  <c r="O113"/>
  <c r="P113" s="1"/>
  <c r="O111"/>
  <c r="P111" s="1"/>
  <c r="O110"/>
  <c r="P110" s="1"/>
  <c r="F112"/>
  <c r="F116"/>
  <c r="F124"/>
  <c r="F110"/>
  <c r="F128"/>
  <c r="B184"/>
  <c r="B186" s="1"/>
  <c r="G127"/>
  <c r="H127" s="1"/>
  <c r="G123"/>
  <c r="H123" s="1"/>
  <c r="G119"/>
  <c r="H119" s="1"/>
  <c r="G115"/>
  <c r="H115" s="1"/>
  <c r="G111"/>
  <c r="H111" s="1"/>
  <c r="G120"/>
  <c r="H120" s="1"/>
  <c r="G126"/>
  <c r="H126" s="1"/>
  <c r="G114"/>
  <c r="H114" s="1"/>
  <c r="G125"/>
  <c r="H125" s="1"/>
  <c r="G117"/>
  <c r="H117" s="1"/>
  <c r="N78"/>
  <c r="V76"/>
  <c r="N74"/>
  <c r="V72"/>
  <c r="N70"/>
  <c r="V68"/>
  <c r="N66"/>
  <c r="V64"/>
  <c r="N62"/>
  <c r="V60"/>
  <c r="Z61"/>
  <c r="O75"/>
  <c r="P75" s="1"/>
  <c r="W73"/>
  <c r="X73" s="1"/>
  <c r="G73"/>
  <c r="H73" s="1"/>
  <c r="O71"/>
  <c r="P71" s="1"/>
  <c r="W69"/>
  <c r="X69" s="1"/>
  <c r="O67"/>
  <c r="P67" s="1"/>
  <c r="W65"/>
  <c r="X65" s="1"/>
  <c r="G65"/>
  <c r="H65" s="1"/>
  <c r="O63"/>
  <c r="P63" s="1"/>
  <c r="W61"/>
  <c r="X61" s="1"/>
  <c r="S59"/>
  <c r="O59"/>
  <c r="P59" s="1"/>
  <c r="K58"/>
  <c r="G58"/>
  <c r="H58" s="1"/>
  <c r="V78"/>
  <c r="N76"/>
  <c r="V74"/>
  <c r="N72"/>
  <c r="V70"/>
  <c r="N68"/>
  <c r="V66"/>
  <c r="N64"/>
  <c r="V62"/>
  <c r="N60"/>
  <c r="R61"/>
  <c r="O77"/>
  <c r="P77" s="1"/>
  <c r="W75"/>
  <c r="X75" s="1"/>
  <c r="G75"/>
  <c r="H75" s="1"/>
  <c r="O73"/>
  <c r="P73" s="1"/>
  <c r="W71"/>
  <c r="X71" s="1"/>
  <c r="G71"/>
  <c r="H71" s="1"/>
  <c r="O69"/>
  <c r="P69" s="1"/>
  <c r="W67"/>
  <c r="X67" s="1"/>
  <c r="G67"/>
  <c r="H67" s="1"/>
  <c r="O65"/>
  <c r="P65" s="1"/>
  <c r="W63"/>
  <c r="X63" s="1"/>
  <c r="G63"/>
  <c r="H63" s="1"/>
  <c r="O61"/>
  <c r="P61" s="1"/>
  <c r="AA59"/>
  <c r="W59"/>
  <c r="X59" s="1"/>
  <c r="K59"/>
  <c r="G59"/>
  <c r="H59" s="1"/>
  <c r="S58"/>
  <c r="O58"/>
  <c r="P58" s="1"/>
  <c r="AA58"/>
  <c r="W58"/>
  <c r="X58" s="1"/>
  <c r="J61"/>
  <c r="J62" s="1"/>
  <c r="W9"/>
  <c r="X9" s="1"/>
  <c r="R6"/>
  <c r="S6" s="1"/>
  <c r="W5"/>
  <c r="X5" s="1"/>
  <c r="I8"/>
  <c r="G8"/>
  <c r="H8" s="1"/>
  <c r="I12"/>
  <c r="G12"/>
  <c r="H12" s="1"/>
  <c r="I16"/>
  <c r="G16"/>
  <c r="H16" s="1"/>
  <c r="I20"/>
  <c r="G20"/>
  <c r="H20" s="1"/>
  <c r="I24"/>
  <c r="G24"/>
  <c r="H24" s="1"/>
  <c r="I7"/>
  <c r="G7"/>
  <c r="H7" s="1"/>
  <c r="I11"/>
  <c r="G11"/>
  <c r="H11" s="1"/>
  <c r="I15"/>
  <c r="G15"/>
  <c r="H15" s="1"/>
  <c r="I19"/>
  <c r="G19"/>
  <c r="H19" s="1"/>
  <c r="I23"/>
  <c r="G23"/>
  <c r="H23" s="1"/>
  <c r="I6"/>
  <c r="G6"/>
  <c r="H6" s="1"/>
  <c r="I10"/>
  <c r="G10"/>
  <c r="H10" s="1"/>
  <c r="I14"/>
  <c r="G14"/>
  <c r="H14" s="1"/>
  <c r="I18"/>
  <c r="G18"/>
  <c r="H18" s="1"/>
  <c r="I22"/>
  <c r="G22"/>
  <c r="H22" s="1"/>
  <c r="J5"/>
  <c r="K5" s="1"/>
  <c r="F4"/>
  <c r="I5"/>
  <c r="G5"/>
  <c r="H5" s="1"/>
  <c r="I9"/>
  <c r="G9"/>
  <c r="H9" s="1"/>
  <c r="I13"/>
  <c r="G13"/>
  <c r="H13" s="1"/>
  <c r="I17"/>
  <c r="G17"/>
  <c r="H17" s="1"/>
  <c r="I21"/>
  <c r="G21"/>
  <c r="H21" s="1"/>
  <c r="I25"/>
  <c r="G25"/>
  <c r="H25" s="1"/>
  <c r="W7"/>
  <c r="X7" s="1"/>
  <c r="R7"/>
  <c r="S7" s="1"/>
  <c r="J6" i="1"/>
  <c r="J7" s="1"/>
  <c r="J38"/>
  <c r="K38" s="1"/>
  <c r="K37"/>
  <c r="J67"/>
  <c r="J11" i="7" l="1"/>
  <c r="K11" s="1"/>
  <c r="J12"/>
  <c r="J24"/>
  <c r="K24" s="1"/>
  <c r="J20"/>
  <c r="J16"/>
  <c r="K16" s="1"/>
  <c r="J10"/>
  <c r="L10" s="1"/>
  <c r="J6"/>
  <c r="K6" s="1"/>
  <c r="J23"/>
  <c r="J19"/>
  <c r="K19" s="1"/>
  <c r="J15"/>
  <c r="J9"/>
  <c r="K9" s="1"/>
  <c r="J5"/>
  <c r="J22"/>
  <c r="L22" s="1"/>
  <c r="J18"/>
  <c r="J14"/>
  <c r="L14" s="1"/>
  <c r="J8"/>
  <c r="L25"/>
  <c r="J21"/>
  <c r="J17"/>
  <c r="L17" s="1"/>
  <c r="J13"/>
  <c r="J7"/>
  <c r="K7" s="1"/>
  <c r="L18"/>
  <c r="L8"/>
  <c r="L24"/>
  <c r="K20"/>
  <c r="L20"/>
  <c r="L16"/>
  <c r="K10"/>
  <c r="L6"/>
  <c r="K23"/>
  <c r="L23"/>
  <c r="K15"/>
  <c r="L15"/>
  <c r="L9"/>
  <c r="K5"/>
  <c r="L5"/>
  <c r="K18"/>
  <c r="K8"/>
  <c r="K21"/>
  <c r="L21"/>
  <c r="K13"/>
  <c r="L13"/>
  <c r="L7"/>
  <c r="L4"/>
  <c r="N5"/>
  <c r="K4"/>
  <c r="AF5"/>
  <c r="AG5"/>
  <c r="AF7"/>
  <c r="AG7"/>
  <c r="AF9"/>
  <c r="AG9"/>
  <c r="AF11"/>
  <c r="AG11"/>
  <c r="AF13"/>
  <c r="AG13"/>
  <c r="AF15"/>
  <c r="AG15"/>
  <c r="AF17"/>
  <c r="AG17"/>
  <c r="AF19"/>
  <c r="AG19"/>
  <c r="AF21"/>
  <c r="AG21"/>
  <c r="AF23"/>
  <c r="AG23"/>
  <c r="AF25"/>
  <c r="AG25"/>
  <c r="AF4"/>
  <c r="AG4"/>
  <c r="AF6"/>
  <c r="AG6"/>
  <c r="AF8"/>
  <c r="AG8"/>
  <c r="AF10"/>
  <c r="AG10"/>
  <c r="AF12"/>
  <c r="AG12"/>
  <c r="AF14"/>
  <c r="AG14"/>
  <c r="AF16"/>
  <c r="AG16"/>
  <c r="AF18"/>
  <c r="AG18"/>
  <c r="AF20"/>
  <c r="AG20"/>
  <c r="AF22"/>
  <c r="AG22"/>
  <c r="AF24"/>
  <c r="AG24"/>
  <c r="T5"/>
  <c r="U5"/>
  <c r="T7"/>
  <c r="U7"/>
  <c r="T9"/>
  <c r="U9"/>
  <c r="T11"/>
  <c r="U11"/>
  <c r="T13"/>
  <c r="U13"/>
  <c r="T15"/>
  <c r="U15"/>
  <c r="T17"/>
  <c r="U17"/>
  <c r="T19"/>
  <c r="U19"/>
  <c r="T21"/>
  <c r="U21"/>
  <c r="T23"/>
  <c r="U23"/>
  <c r="T25"/>
  <c r="U25"/>
  <c r="T4"/>
  <c r="U4"/>
  <c r="T6"/>
  <c r="U6"/>
  <c r="T8"/>
  <c r="U8"/>
  <c r="T10"/>
  <c r="U10"/>
  <c r="T12"/>
  <c r="U12"/>
  <c r="T14"/>
  <c r="U14"/>
  <c r="T16"/>
  <c r="U16"/>
  <c r="T18"/>
  <c r="U18"/>
  <c r="T20"/>
  <c r="U20"/>
  <c r="T22"/>
  <c r="U22"/>
  <c r="T24"/>
  <c r="U24"/>
  <c r="L11"/>
  <c r="K12"/>
  <c r="L12"/>
  <c r="M8"/>
  <c r="BF20" i="4"/>
  <c r="BF22"/>
  <c r="BF24"/>
  <c r="BF26"/>
  <c r="BF28"/>
  <c r="BF30"/>
  <c r="BF32"/>
  <c r="BF34"/>
  <c r="BF36"/>
  <c r="BF38"/>
  <c r="BF40"/>
  <c r="BF42"/>
  <c r="BF44"/>
  <c r="BF46"/>
  <c r="BF48"/>
  <c r="BF50"/>
  <c r="BF52"/>
  <c r="BF54"/>
  <c r="BF56"/>
  <c r="BF58"/>
  <c r="BF60"/>
  <c r="BF62"/>
  <c r="BF64"/>
  <c r="BF66"/>
  <c r="BF68"/>
  <c r="BF70"/>
  <c r="BF72"/>
  <c r="BF74"/>
  <c r="BF76"/>
  <c r="BF78"/>
  <c r="BF80"/>
  <c r="BF82"/>
  <c r="BF84"/>
  <c r="BF86"/>
  <c r="BF88"/>
  <c r="BF90"/>
  <c r="BF92"/>
  <c r="BF94"/>
  <c r="BF96"/>
  <c r="BF98"/>
  <c r="BF100"/>
  <c r="BF102"/>
  <c r="BF104"/>
  <c r="BF106"/>
  <c r="BF108"/>
  <c r="BF110"/>
  <c r="BF112"/>
  <c r="BF114"/>
  <c r="BF116"/>
  <c r="BF118"/>
  <c r="BF120"/>
  <c r="BF122"/>
  <c r="BF124"/>
  <c r="BF19"/>
  <c r="BF21"/>
  <c r="BF23"/>
  <c r="BF25"/>
  <c r="BF27"/>
  <c r="BF29"/>
  <c r="BF31"/>
  <c r="BF33"/>
  <c r="BF35"/>
  <c r="BF37"/>
  <c r="BF39"/>
  <c r="BF41"/>
  <c r="BF43"/>
  <c r="BF45"/>
  <c r="BF47"/>
  <c r="BF49"/>
  <c r="BF51"/>
  <c r="BF53"/>
  <c r="BF55"/>
  <c r="BF57"/>
  <c r="BF59"/>
  <c r="BF61"/>
  <c r="BF63"/>
  <c r="BF65"/>
  <c r="BF67"/>
  <c r="BF69"/>
  <c r="BF71"/>
  <c r="BF73"/>
  <c r="BF75"/>
  <c r="BF77"/>
  <c r="BF79"/>
  <c r="BF81"/>
  <c r="BF83"/>
  <c r="BF85"/>
  <c r="BF87"/>
  <c r="BF89"/>
  <c r="BF91"/>
  <c r="BF93"/>
  <c r="BF95"/>
  <c r="BF97"/>
  <c r="BF99"/>
  <c r="BF101"/>
  <c r="BF103"/>
  <c r="BF105"/>
  <c r="BF107"/>
  <c r="BF109"/>
  <c r="BF111"/>
  <c r="BF113"/>
  <c r="BF115"/>
  <c r="BF117"/>
  <c r="BF119"/>
  <c r="BF121"/>
  <c r="BF123"/>
  <c r="BF125"/>
  <c r="BB20"/>
  <c r="BB22"/>
  <c r="BB24"/>
  <c r="BB26"/>
  <c r="BB28"/>
  <c r="BB30"/>
  <c r="BB32"/>
  <c r="BB34"/>
  <c r="BB36"/>
  <c r="BB38"/>
  <c r="BB40"/>
  <c r="BB42"/>
  <c r="BB44"/>
  <c r="BB46"/>
  <c r="BB48"/>
  <c r="BB50"/>
  <c r="BB52"/>
  <c r="BB54"/>
  <c r="BB56"/>
  <c r="BB58"/>
  <c r="BB60"/>
  <c r="BB62"/>
  <c r="BB64"/>
  <c r="BB66"/>
  <c r="BB68"/>
  <c r="BB70"/>
  <c r="BB72"/>
  <c r="BB74"/>
  <c r="BB76"/>
  <c r="BB78"/>
  <c r="BB80"/>
  <c r="BB82"/>
  <c r="BB84"/>
  <c r="BB86"/>
  <c r="BB88"/>
  <c r="BB90"/>
  <c r="BB92"/>
  <c r="BB94"/>
  <c r="BB96"/>
  <c r="BB98"/>
  <c r="BB19"/>
  <c r="BB21"/>
  <c r="BB23"/>
  <c r="BB25"/>
  <c r="BB27"/>
  <c r="BB29"/>
  <c r="BB31"/>
  <c r="BB33"/>
  <c r="BB35"/>
  <c r="BB37"/>
  <c r="BB39"/>
  <c r="BB41"/>
  <c r="BB43"/>
  <c r="BB45"/>
  <c r="BB47"/>
  <c r="BB49"/>
  <c r="BB51"/>
  <c r="BB53"/>
  <c r="BB55"/>
  <c r="BB57"/>
  <c r="BB59"/>
  <c r="BB61"/>
  <c r="BB63"/>
  <c r="BB65"/>
  <c r="BB67"/>
  <c r="BB69"/>
  <c r="BB71"/>
  <c r="BB73"/>
  <c r="BB75"/>
  <c r="BB77"/>
  <c r="BB79"/>
  <c r="BB81"/>
  <c r="BB83"/>
  <c r="BB85"/>
  <c r="BB87"/>
  <c r="BB89"/>
  <c r="BB91"/>
  <c r="BB93"/>
  <c r="BB95"/>
  <c r="BB97"/>
  <c r="BB99"/>
  <c r="Z8" i="6"/>
  <c r="AT7" s="1"/>
  <c r="AT6"/>
  <c r="R8"/>
  <c r="S8" s="1"/>
  <c r="AO6"/>
  <c r="J7"/>
  <c r="K7" s="1"/>
  <c r="AI5"/>
  <c r="Z9"/>
  <c r="X24"/>
  <c r="AA6"/>
  <c r="X6"/>
  <c r="AA7"/>
  <c r="K6"/>
  <c r="H6"/>
  <c r="P8"/>
  <c r="X10"/>
  <c r="H10"/>
  <c r="P12"/>
  <c r="X14"/>
  <c r="H14"/>
  <c r="P16"/>
  <c r="X18"/>
  <c r="H18"/>
  <c r="P20"/>
  <c r="X22"/>
  <c r="H22"/>
  <c r="S6"/>
  <c r="P6"/>
  <c r="S7"/>
  <c r="AA8"/>
  <c r="X8"/>
  <c r="AA9"/>
  <c r="H8"/>
  <c r="P10"/>
  <c r="X12"/>
  <c r="H12"/>
  <c r="P14"/>
  <c r="X16"/>
  <c r="H16"/>
  <c r="P18"/>
  <c r="X20"/>
  <c r="H20"/>
  <c r="P22"/>
  <c r="H24"/>
  <c r="P24"/>
  <c r="G128" i="2"/>
  <c r="H128" s="1"/>
  <c r="G124"/>
  <c r="H124" s="1"/>
  <c r="G112"/>
  <c r="H112" s="1"/>
  <c r="G118"/>
  <c r="H118" s="1"/>
  <c r="G130"/>
  <c r="H130" s="1"/>
  <c r="G122"/>
  <c r="H122" s="1"/>
  <c r="U305"/>
  <c r="R305"/>
  <c r="S305"/>
  <c r="U303"/>
  <c r="R303"/>
  <c r="S303"/>
  <c r="U301"/>
  <c r="R301"/>
  <c r="S301"/>
  <c r="U299"/>
  <c r="R299"/>
  <c r="S299"/>
  <c r="U297"/>
  <c r="R297"/>
  <c r="S297"/>
  <c r="U295"/>
  <c r="R295"/>
  <c r="S295"/>
  <c r="U293"/>
  <c r="R293"/>
  <c r="S293"/>
  <c r="U291"/>
  <c r="R291"/>
  <c r="S291"/>
  <c r="U289"/>
  <c r="R289"/>
  <c r="S289"/>
  <c r="U287"/>
  <c r="R287"/>
  <c r="S287"/>
  <c r="U285"/>
  <c r="R285"/>
  <c r="S285"/>
  <c r="U283"/>
  <c r="R283"/>
  <c r="S283"/>
  <c r="U281"/>
  <c r="R281"/>
  <c r="S281"/>
  <c r="U279"/>
  <c r="R279"/>
  <c r="S279"/>
  <c r="U277"/>
  <c r="R277"/>
  <c r="S277"/>
  <c r="I129"/>
  <c r="F129"/>
  <c r="AF282"/>
  <c r="K253"/>
  <c r="G253"/>
  <c r="AF278"/>
  <c r="K249"/>
  <c r="G249"/>
  <c r="AF274"/>
  <c r="K245"/>
  <c r="G245"/>
  <c r="AF270"/>
  <c r="K241"/>
  <c r="G241"/>
  <c r="AF266"/>
  <c r="K237"/>
  <c r="G237"/>
  <c r="AF262"/>
  <c r="K233"/>
  <c r="G233"/>
  <c r="AF258"/>
  <c r="G229"/>
  <c r="K229"/>
  <c r="AF254"/>
  <c r="G225"/>
  <c r="K225"/>
  <c r="AG334"/>
  <c r="H306"/>
  <c r="AH334" s="1"/>
  <c r="I306"/>
  <c r="AI334" s="1"/>
  <c r="AK334"/>
  <c r="L306"/>
  <c r="N306"/>
  <c r="AG332"/>
  <c r="H304"/>
  <c r="AH332" s="1"/>
  <c r="I304"/>
  <c r="AI332" s="1"/>
  <c r="AK332"/>
  <c r="L304"/>
  <c r="N304"/>
  <c r="AG330"/>
  <c r="H302"/>
  <c r="AH330" s="1"/>
  <c r="I302"/>
  <c r="AI330" s="1"/>
  <c r="AK330"/>
  <c r="L302"/>
  <c r="N302"/>
  <c r="AG328"/>
  <c r="H300"/>
  <c r="AH328" s="1"/>
  <c r="I300"/>
  <c r="AI328" s="1"/>
  <c r="AK328"/>
  <c r="L300"/>
  <c r="N300"/>
  <c r="AG326"/>
  <c r="H298"/>
  <c r="AH326" s="1"/>
  <c r="I298"/>
  <c r="AI326" s="1"/>
  <c r="AK326"/>
  <c r="L298"/>
  <c r="N298"/>
  <c r="AG324"/>
  <c r="H296"/>
  <c r="AH324" s="1"/>
  <c r="I296"/>
  <c r="AI324" s="1"/>
  <c r="AK324"/>
  <c r="L296"/>
  <c r="N296"/>
  <c r="AG322"/>
  <c r="H294"/>
  <c r="AH322" s="1"/>
  <c r="I294"/>
  <c r="AI322" s="1"/>
  <c r="AK322"/>
  <c r="L294"/>
  <c r="N294"/>
  <c r="AG320"/>
  <c r="H292"/>
  <c r="AH320" s="1"/>
  <c r="I292"/>
  <c r="AI320" s="1"/>
  <c r="AK320"/>
  <c r="L292"/>
  <c r="N292"/>
  <c r="AG318"/>
  <c r="H290"/>
  <c r="AH318" s="1"/>
  <c r="I290"/>
  <c r="AI318" s="1"/>
  <c r="AK318"/>
  <c r="L290"/>
  <c r="N290"/>
  <c r="AG316"/>
  <c r="H288"/>
  <c r="AH316" s="1"/>
  <c r="I288"/>
  <c r="AI316" s="1"/>
  <c r="AK316"/>
  <c r="L288"/>
  <c r="N288"/>
  <c r="AG314"/>
  <c r="H286"/>
  <c r="AH314" s="1"/>
  <c r="I286"/>
  <c r="AI314" s="1"/>
  <c r="AK314"/>
  <c r="L286"/>
  <c r="N286"/>
  <c r="AG312"/>
  <c r="H284"/>
  <c r="AH312" s="1"/>
  <c r="I284"/>
  <c r="AI312" s="1"/>
  <c r="AK312"/>
  <c r="L284"/>
  <c r="N284"/>
  <c r="AG310"/>
  <c r="H282"/>
  <c r="AH310" s="1"/>
  <c r="I282"/>
  <c r="AI310" s="1"/>
  <c r="AK310"/>
  <c r="L282"/>
  <c r="N282"/>
  <c r="AG308"/>
  <c r="H280"/>
  <c r="AH308" s="1"/>
  <c r="I280"/>
  <c r="AI308" s="1"/>
  <c r="AK308"/>
  <c r="L280"/>
  <c r="N280"/>
  <c r="AG306"/>
  <c r="H278"/>
  <c r="AH306" s="1"/>
  <c r="I278"/>
  <c r="AI306" s="1"/>
  <c r="AK306"/>
  <c r="L278"/>
  <c r="N278"/>
  <c r="AF283"/>
  <c r="K254"/>
  <c r="G254"/>
  <c r="AF279"/>
  <c r="K250"/>
  <c r="G250"/>
  <c r="AF275"/>
  <c r="K246"/>
  <c r="G246"/>
  <c r="AF271"/>
  <c r="K242"/>
  <c r="G242"/>
  <c r="AF267"/>
  <c r="K238"/>
  <c r="G238"/>
  <c r="AF263"/>
  <c r="K234"/>
  <c r="G234"/>
  <c r="AF259"/>
  <c r="K230"/>
  <c r="G230"/>
  <c r="AF255"/>
  <c r="K226"/>
  <c r="G226"/>
  <c r="I224"/>
  <c r="AI253" s="1"/>
  <c r="AG253"/>
  <c r="H224"/>
  <c r="AH253" s="1"/>
  <c r="AF304"/>
  <c r="K276"/>
  <c r="Q276"/>
  <c r="G276"/>
  <c r="R112"/>
  <c r="K110"/>
  <c r="G116"/>
  <c r="H116" s="1"/>
  <c r="J112"/>
  <c r="S111"/>
  <c r="U111" s="1"/>
  <c r="Y111" s="1"/>
  <c r="AF303"/>
  <c r="K275"/>
  <c r="Q275"/>
  <c r="G275"/>
  <c r="AG333"/>
  <c r="H305"/>
  <c r="AH333" s="1"/>
  <c r="I305"/>
  <c r="AI333" s="1"/>
  <c r="AK333"/>
  <c r="L305"/>
  <c r="N305"/>
  <c r="AG331"/>
  <c r="H303"/>
  <c r="AH331" s="1"/>
  <c r="I303"/>
  <c r="AI331" s="1"/>
  <c r="AK331"/>
  <c r="L303"/>
  <c r="N303"/>
  <c r="AG329"/>
  <c r="H301"/>
  <c r="AH329" s="1"/>
  <c r="I301"/>
  <c r="AI329" s="1"/>
  <c r="AK329"/>
  <c r="L301"/>
  <c r="N301"/>
  <c r="AG327"/>
  <c r="H299"/>
  <c r="AH327" s="1"/>
  <c r="I299"/>
  <c r="AI327" s="1"/>
  <c r="AK327"/>
  <c r="L299"/>
  <c r="N299"/>
  <c r="AG325"/>
  <c r="H297"/>
  <c r="AH325" s="1"/>
  <c r="I297"/>
  <c r="AI325" s="1"/>
  <c r="AK325"/>
  <c r="L297"/>
  <c r="N297"/>
  <c r="AG323"/>
  <c r="H295"/>
  <c r="AH323" s="1"/>
  <c r="I295"/>
  <c r="AI323" s="1"/>
  <c r="AK323"/>
  <c r="L295"/>
  <c r="N295"/>
  <c r="AG321"/>
  <c r="H293"/>
  <c r="AH321" s="1"/>
  <c r="I293"/>
  <c r="AI321" s="1"/>
  <c r="AK321"/>
  <c r="L293"/>
  <c r="N293"/>
  <c r="AG319"/>
  <c r="H291"/>
  <c r="AH319" s="1"/>
  <c r="I291"/>
  <c r="AI319" s="1"/>
  <c r="AK319"/>
  <c r="L291"/>
  <c r="N291"/>
  <c r="AG317"/>
  <c r="H289"/>
  <c r="AH317" s="1"/>
  <c r="I289"/>
  <c r="AI317" s="1"/>
  <c r="AK317"/>
  <c r="L289"/>
  <c r="N289"/>
  <c r="AG315"/>
  <c r="H287"/>
  <c r="AH315" s="1"/>
  <c r="I287"/>
  <c r="AI315" s="1"/>
  <c r="AK315"/>
  <c r="L287"/>
  <c r="N287"/>
  <c r="AG313"/>
  <c r="H285"/>
  <c r="AH313" s="1"/>
  <c r="I285"/>
  <c r="AI313" s="1"/>
  <c r="AK313"/>
  <c r="L285"/>
  <c r="N285"/>
  <c r="AG311"/>
  <c r="H283"/>
  <c r="AH311" s="1"/>
  <c r="I283"/>
  <c r="AI311" s="1"/>
  <c r="AK311"/>
  <c r="L283"/>
  <c r="N283"/>
  <c r="AG309"/>
  <c r="H281"/>
  <c r="AH309" s="1"/>
  <c r="I281"/>
  <c r="AI309" s="1"/>
  <c r="AK309"/>
  <c r="L281"/>
  <c r="N281"/>
  <c r="AG307"/>
  <c r="H279"/>
  <c r="AH307" s="1"/>
  <c r="I279"/>
  <c r="AI307" s="1"/>
  <c r="AK307"/>
  <c r="L279"/>
  <c r="N279"/>
  <c r="AG305"/>
  <c r="H277"/>
  <c r="AH305" s="1"/>
  <c r="I277"/>
  <c r="AI305" s="1"/>
  <c r="AK305"/>
  <c r="L277"/>
  <c r="N277"/>
  <c r="AF284"/>
  <c r="G255"/>
  <c r="K255"/>
  <c r="AF280"/>
  <c r="G251"/>
  <c r="K251"/>
  <c r="AF276"/>
  <c r="G247"/>
  <c r="K247"/>
  <c r="AF272"/>
  <c r="G243"/>
  <c r="K243"/>
  <c r="AF268"/>
  <c r="G239"/>
  <c r="K239"/>
  <c r="AF264"/>
  <c r="G235"/>
  <c r="K235"/>
  <c r="AF260"/>
  <c r="G231"/>
  <c r="K231"/>
  <c r="AF256"/>
  <c r="G227"/>
  <c r="K227"/>
  <c r="AF281"/>
  <c r="K252"/>
  <c r="G252"/>
  <c r="AF277"/>
  <c r="K248"/>
  <c r="G248"/>
  <c r="AF273"/>
  <c r="K244"/>
  <c r="G244"/>
  <c r="AF269"/>
  <c r="K240"/>
  <c r="G240"/>
  <c r="AF265"/>
  <c r="K236"/>
  <c r="G236"/>
  <c r="AF261"/>
  <c r="K232"/>
  <c r="G232"/>
  <c r="AF257"/>
  <c r="K228"/>
  <c r="G228"/>
  <c r="S306"/>
  <c r="U306"/>
  <c r="R306"/>
  <c r="S304"/>
  <c r="U304"/>
  <c r="R304"/>
  <c r="S302"/>
  <c r="U302"/>
  <c r="R302"/>
  <c r="S300"/>
  <c r="U300"/>
  <c r="R300"/>
  <c r="S298"/>
  <c r="U298"/>
  <c r="R298"/>
  <c r="S296"/>
  <c r="U296"/>
  <c r="R296"/>
  <c r="S294"/>
  <c r="U294"/>
  <c r="R294"/>
  <c r="S292"/>
  <c r="U292"/>
  <c r="R292"/>
  <c r="S290"/>
  <c r="U290"/>
  <c r="R290"/>
  <c r="S288"/>
  <c r="U288"/>
  <c r="R288"/>
  <c r="S286"/>
  <c r="U286"/>
  <c r="R286"/>
  <c r="S284"/>
  <c r="U284"/>
  <c r="R284"/>
  <c r="S282"/>
  <c r="U282"/>
  <c r="R282"/>
  <c r="S280"/>
  <c r="U280"/>
  <c r="R280"/>
  <c r="S278"/>
  <c r="U278"/>
  <c r="R278"/>
  <c r="N224"/>
  <c r="AN253" s="1"/>
  <c r="AK253"/>
  <c r="L224"/>
  <c r="AL253" s="1"/>
  <c r="S110"/>
  <c r="AA22"/>
  <c r="W22"/>
  <c r="X22" s="1"/>
  <c r="AA18"/>
  <c r="W18"/>
  <c r="X18" s="1"/>
  <c r="AA14"/>
  <c r="W14"/>
  <c r="X14" s="1"/>
  <c r="AA10"/>
  <c r="W10"/>
  <c r="X10" s="1"/>
  <c r="AA6"/>
  <c r="W6"/>
  <c r="X6" s="1"/>
  <c r="AA19"/>
  <c r="W19"/>
  <c r="X19" s="1"/>
  <c r="AA11"/>
  <c r="AA24"/>
  <c r="W24"/>
  <c r="X24" s="1"/>
  <c r="AA20"/>
  <c r="W20"/>
  <c r="X20" s="1"/>
  <c r="AA16"/>
  <c r="W16"/>
  <c r="X16" s="1"/>
  <c r="AA12"/>
  <c r="W12"/>
  <c r="X12" s="1"/>
  <c r="AA8"/>
  <c r="W8"/>
  <c r="X8" s="1"/>
  <c r="AA25"/>
  <c r="AA26"/>
  <c r="W25"/>
  <c r="X25" s="1"/>
  <c r="AA21"/>
  <c r="W21"/>
  <c r="X21" s="1"/>
  <c r="AA17"/>
  <c r="W17"/>
  <c r="X17" s="1"/>
  <c r="AA13"/>
  <c r="W13"/>
  <c r="X13" s="1"/>
  <c r="AA23"/>
  <c r="W23"/>
  <c r="X23" s="1"/>
  <c r="AA15"/>
  <c r="W15"/>
  <c r="X15" s="1"/>
  <c r="AA9"/>
  <c r="AA7"/>
  <c r="G110"/>
  <c r="H110" s="1"/>
  <c r="K111"/>
  <c r="K112"/>
  <c r="V111"/>
  <c r="U110"/>
  <c r="Y110" s="1"/>
  <c r="B185"/>
  <c r="B187" s="1"/>
  <c r="Z62"/>
  <c r="Z63" s="1"/>
  <c r="AA61"/>
  <c r="R62"/>
  <c r="R63" s="1"/>
  <c r="S61"/>
  <c r="S60"/>
  <c r="O60"/>
  <c r="P60" s="1"/>
  <c r="AA62"/>
  <c r="W62"/>
  <c r="X62" s="1"/>
  <c r="K62"/>
  <c r="G62"/>
  <c r="H62" s="1"/>
  <c r="O64"/>
  <c r="P64" s="1"/>
  <c r="W66"/>
  <c r="X66" s="1"/>
  <c r="G66"/>
  <c r="H66" s="1"/>
  <c r="O68"/>
  <c r="P68" s="1"/>
  <c r="W70"/>
  <c r="X70" s="1"/>
  <c r="G70"/>
  <c r="H70" s="1"/>
  <c r="O72"/>
  <c r="P72" s="1"/>
  <c r="W74"/>
  <c r="X74" s="1"/>
  <c r="G74"/>
  <c r="H74" s="1"/>
  <c r="O76"/>
  <c r="P76" s="1"/>
  <c r="W78"/>
  <c r="X78" s="1"/>
  <c r="G78"/>
  <c r="H78" s="1"/>
  <c r="J63"/>
  <c r="AA60"/>
  <c r="W60"/>
  <c r="X60" s="1"/>
  <c r="K60"/>
  <c r="G60"/>
  <c r="H60" s="1"/>
  <c r="O62"/>
  <c r="P62" s="1"/>
  <c r="W64"/>
  <c r="X64" s="1"/>
  <c r="G64"/>
  <c r="H64" s="1"/>
  <c r="O66"/>
  <c r="P66" s="1"/>
  <c r="W68"/>
  <c r="X68" s="1"/>
  <c r="G68"/>
  <c r="H68" s="1"/>
  <c r="O70"/>
  <c r="P70" s="1"/>
  <c r="W72"/>
  <c r="X72" s="1"/>
  <c r="G72"/>
  <c r="H72" s="1"/>
  <c r="O74"/>
  <c r="P74" s="1"/>
  <c r="W76"/>
  <c r="X76" s="1"/>
  <c r="G76"/>
  <c r="H76" s="1"/>
  <c r="O78"/>
  <c r="P78" s="1"/>
  <c r="K61"/>
  <c r="J6"/>
  <c r="R8"/>
  <c r="S8" s="1"/>
  <c r="J39" i="1"/>
  <c r="K39" s="1"/>
  <c r="J8"/>
  <c r="J68"/>
  <c r="K22" i="7" l="1"/>
  <c r="L19"/>
  <c r="K17"/>
  <c r="K14"/>
  <c r="N7"/>
  <c r="K25"/>
  <c r="N6"/>
  <c r="AL24"/>
  <c r="AJ24"/>
  <c r="AI24"/>
  <c r="AL22"/>
  <c r="AJ22"/>
  <c r="AI22"/>
  <c r="AL20"/>
  <c r="AJ20"/>
  <c r="AI20"/>
  <c r="AL18"/>
  <c r="AJ18"/>
  <c r="AI18"/>
  <c r="AL16"/>
  <c r="AJ16"/>
  <c r="AI16"/>
  <c r="AL14"/>
  <c r="AJ14"/>
  <c r="AI14"/>
  <c r="AL12"/>
  <c r="AJ12"/>
  <c r="AI12"/>
  <c r="AL10"/>
  <c r="AJ10"/>
  <c r="AI10"/>
  <c r="AL8"/>
  <c r="AJ8"/>
  <c r="AI8"/>
  <c r="AL6"/>
  <c r="AJ6"/>
  <c r="AI6"/>
  <c r="AJ4"/>
  <c r="AI4"/>
  <c r="AL26"/>
  <c r="AL25"/>
  <c r="AJ25"/>
  <c r="AI25"/>
  <c r="AL23"/>
  <c r="AJ23"/>
  <c r="AI23"/>
  <c r="AL21"/>
  <c r="AJ21"/>
  <c r="AI21"/>
  <c r="AL19"/>
  <c r="AJ19"/>
  <c r="AI19"/>
  <c r="AL17"/>
  <c r="AJ17"/>
  <c r="AI17"/>
  <c r="AL15"/>
  <c r="AJ15"/>
  <c r="AI15"/>
  <c r="AL13"/>
  <c r="AJ13"/>
  <c r="AI13"/>
  <c r="AL11"/>
  <c r="AJ11"/>
  <c r="AI11"/>
  <c r="AL9"/>
  <c r="AJ9"/>
  <c r="AI9"/>
  <c r="AL7"/>
  <c r="AJ7"/>
  <c r="AI7"/>
  <c r="AL5"/>
  <c r="AJ5"/>
  <c r="AI5"/>
  <c r="Z24"/>
  <c r="X24"/>
  <c r="W24"/>
  <c r="Z22"/>
  <c r="X22"/>
  <c r="W22"/>
  <c r="Z20"/>
  <c r="X20"/>
  <c r="W20"/>
  <c r="Z18"/>
  <c r="X18"/>
  <c r="W18"/>
  <c r="Z16"/>
  <c r="X16"/>
  <c r="W16"/>
  <c r="Z14"/>
  <c r="X14"/>
  <c r="W14"/>
  <c r="Z12"/>
  <c r="X12"/>
  <c r="W12"/>
  <c r="X10"/>
  <c r="W10"/>
  <c r="X8"/>
  <c r="W8"/>
  <c r="X6"/>
  <c r="W6"/>
  <c r="X4"/>
  <c r="W4"/>
  <c r="Z26"/>
  <c r="Z25"/>
  <c r="X25"/>
  <c r="W25"/>
  <c r="Z23"/>
  <c r="X23"/>
  <c r="W23"/>
  <c r="Z21"/>
  <c r="X21"/>
  <c r="W21"/>
  <c r="Z19"/>
  <c r="X19"/>
  <c r="W19"/>
  <c r="Z17"/>
  <c r="X17"/>
  <c r="W17"/>
  <c r="Z15"/>
  <c r="X15"/>
  <c r="W15"/>
  <c r="Z13"/>
  <c r="X13"/>
  <c r="W13"/>
  <c r="Z11"/>
  <c r="X11"/>
  <c r="W11"/>
  <c r="M9"/>
  <c r="N8"/>
  <c r="Z10" i="6"/>
  <c r="AT8"/>
  <c r="R9"/>
  <c r="AO7"/>
  <c r="J8"/>
  <c r="AJ6"/>
  <c r="AA10"/>
  <c r="G20" i="3"/>
  <c r="H20"/>
  <c r="F20"/>
  <c r="D20"/>
  <c r="C20"/>
  <c r="E20"/>
  <c r="AG257" i="2"/>
  <c r="I228"/>
  <c r="AI257" s="1"/>
  <c r="H228"/>
  <c r="AH257" s="1"/>
  <c r="AK261"/>
  <c r="N232"/>
  <c r="L232"/>
  <c r="AL261" s="1"/>
  <c r="AG265"/>
  <c r="I236"/>
  <c r="AI265" s="1"/>
  <c r="H236"/>
  <c r="AH265" s="1"/>
  <c r="AK269"/>
  <c r="N240"/>
  <c r="L240"/>
  <c r="AL269" s="1"/>
  <c r="AG273"/>
  <c r="I244"/>
  <c r="AI273" s="1"/>
  <c r="H244"/>
  <c r="AH273" s="1"/>
  <c r="AK277"/>
  <c r="N248"/>
  <c r="L248"/>
  <c r="AL277" s="1"/>
  <c r="AG281"/>
  <c r="I252"/>
  <c r="AI281" s="1"/>
  <c r="H252"/>
  <c r="AH281" s="1"/>
  <c r="AG256"/>
  <c r="I227"/>
  <c r="AI256" s="1"/>
  <c r="H227"/>
  <c r="AH256" s="1"/>
  <c r="AK260"/>
  <c r="L231"/>
  <c r="AL260" s="1"/>
  <c r="N231"/>
  <c r="AG264"/>
  <c r="I235"/>
  <c r="AI264" s="1"/>
  <c r="H235"/>
  <c r="AH264" s="1"/>
  <c r="AK268"/>
  <c r="L239"/>
  <c r="AL268" s="1"/>
  <c r="N239"/>
  <c r="AG272"/>
  <c r="I243"/>
  <c r="AI272" s="1"/>
  <c r="H243"/>
  <c r="AH272" s="1"/>
  <c r="AK276"/>
  <c r="L247"/>
  <c r="AL276" s="1"/>
  <c r="N247"/>
  <c r="AG280"/>
  <c r="I251"/>
  <c r="AI280" s="1"/>
  <c r="H251"/>
  <c r="AH280" s="1"/>
  <c r="AK284"/>
  <c r="L255"/>
  <c r="AL284" s="1"/>
  <c r="N255"/>
  <c r="AL305"/>
  <c r="AL307"/>
  <c r="Y279"/>
  <c r="AL309"/>
  <c r="Y281"/>
  <c r="AL311"/>
  <c r="Y283"/>
  <c r="AL313"/>
  <c r="Y285"/>
  <c r="AL315"/>
  <c r="Y287"/>
  <c r="AL317"/>
  <c r="Y289"/>
  <c r="AL319"/>
  <c r="Y291"/>
  <c r="AL321"/>
  <c r="Y293"/>
  <c r="AL323"/>
  <c r="Y295"/>
  <c r="AL325"/>
  <c r="Y297"/>
  <c r="AL327"/>
  <c r="Y299"/>
  <c r="AL329"/>
  <c r="Y301"/>
  <c r="AL331"/>
  <c r="Y303"/>
  <c r="AL333"/>
  <c r="Y305"/>
  <c r="U275"/>
  <c r="R275"/>
  <c r="S275"/>
  <c r="J113"/>
  <c r="R113"/>
  <c r="S112"/>
  <c r="S276"/>
  <c r="U276"/>
  <c r="R276"/>
  <c r="AG255"/>
  <c r="I226"/>
  <c r="AI255" s="1"/>
  <c r="H226"/>
  <c r="AH255" s="1"/>
  <c r="AK259"/>
  <c r="N230"/>
  <c r="L230"/>
  <c r="AL259" s="1"/>
  <c r="AG263"/>
  <c r="I234"/>
  <c r="AI263" s="1"/>
  <c r="H234"/>
  <c r="AH263" s="1"/>
  <c r="AK267"/>
  <c r="N238"/>
  <c r="L238"/>
  <c r="AL267" s="1"/>
  <c r="AG271"/>
  <c r="I242"/>
  <c r="AI271" s="1"/>
  <c r="H242"/>
  <c r="AH271" s="1"/>
  <c r="AK275"/>
  <c r="N246"/>
  <c r="L246"/>
  <c r="AL275" s="1"/>
  <c r="AG279"/>
  <c r="I250"/>
  <c r="AI279" s="1"/>
  <c r="H250"/>
  <c r="AH279" s="1"/>
  <c r="AK283"/>
  <c r="N254"/>
  <c r="L254"/>
  <c r="AL283" s="1"/>
  <c r="AN306"/>
  <c r="O278"/>
  <c r="AO306" s="1"/>
  <c r="AN308"/>
  <c r="O280"/>
  <c r="AO308" s="1"/>
  <c r="AN310"/>
  <c r="O282"/>
  <c r="AO310" s="1"/>
  <c r="AN312"/>
  <c r="O284"/>
  <c r="AO312" s="1"/>
  <c r="AN314"/>
  <c r="O286"/>
  <c r="AO314" s="1"/>
  <c r="AN316"/>
  <c r="O288"/>
  <c r="AO316" s="1"/>
  <c r="AN318"/>
  <c r="O290"/>
  <c r="AO318" s="1"/>
  <c r="AN320"/>
  <c r="O292"/>
  <c r="AO320" s="1"/>
  <c r="AN322"/>
  <c r="O294"/>
  <c r="AO322" s="1"/>
  <c r="AN324"/>
  <c r="O296"/>
  <c r="AO324" s="1"/>
  <c r="AN326"/>
  <c r="O298"/>
  <c r="AO326" s="1"/>
  <c r="AN328"/>
  <c r="O300"/>
  <c r="AO328" s="1"/>
  <c r="AN330"/>
  <c r="O302"/>
  <c r="AO330" s="1"/>
  <c r="AN332"/>
  <c r="O304"/>
  <c r="AO332" s="1"/>
  <c r="AN334"/>
  <c r="O306"/>
  <c r="AO334" s="1"/>
  <c r="AK254"/>
  <c r="L225"/>
  <c r="AL254" s="1"/>
  <c r="N225"/>
  <c r="AG258"/>
  <c r="I229"/>
  <c r="AI258" s="1"/>
  <c r="H229"/>
  <c r="AH258" s="1"/>
  <c r="AG262"/>
  <c r="I233"/>
  <c r="AI262" s="1"/>
  <c r="H233"/>
  <c r="AH262" s="1"/>
  <c r="AK266"/>
  <c r="L237"/>
  <c r="AL266" s="1"/>
  <c r="N237"/>
  <c r="AG270"/>
  <c r="I241"/>
  <c r="AI270" s="1"/>
  <c r="H241"/>
  <c r="AH270" s="1"/>
  <c r="AK274"/>
  <c r="L245"/>
  <c r="AL274" s="1"/>
  <c r="N245"/>
  <c r="AG278"/>
  <c r="I249"/>
  <c r="AI278" s="1"/>
  <c r="H249"/>
  <c r="AH278" s="1"/>
  <c r="AK282"/>
  <c r="L253"/>
  <c r="AL282" s="1"/>
  <c r="N253"/>
  <c r="G129"/>
  <c r="H129" s="1"/>
  <c r="AK257"/>
  <c r="N228"/>
  <c r="L228"/>
  <c r="AL257" s="1"/>
  <c r="AG261"/>
  <c r="I232"/>
  <c r="AI261" s="1"/>
  <c r="H232"/>
  <c r="AH261" s="1"/>
  <c r="AK265"/>
  <c r="N236"/>
  <c r="L236"/>
  <c r="AL265" s="1"/>
  <c r="AG269"/>
  <c r="I240"/>
  <c r="AI269" s="1"/>
  <c r="H240"/>
  <c r="AH269" s="1"/>
  <c r="AK273"/>
  <c r="N244"/>
  <c r="L244"/>
  <c r="AL273" s="1"/>
  <c r="AG277"/>
  <c r="I248"/>
  <c r="AI277" s="1"/>
  <c r="H248"/>
  <c r="AH277" s="1"/>
  <c r="AK281"/>
  <c r="N252"/>
  <c r="L252"/>
  <c r="AL281" s="1"/>
  <c r="AK256"/>
  <c r="L227"/>
  <c r="AL256" s="1"/>
  <c r="N227"/>
  <c r="AG260"/>
  <c r="I231"/>
  <c r="AI260" s="1"/>
  <c r="H231"/>
  <c r="AH260" s="1"/>
  <c r="AK264"/>
  <c r="L235"/>
  <c r="AL264" s="1"/>
  <c r="N235"/>
  <c r="AG268"/>
  <c r="I239"/>
  <c r="AI268" s="1"/>
  <c r="H239"/>
  <c r="AH268" s="1"/>
  <c r="AK272"/>
  <c r="L243"/>
  <c r="AL272" s="1"/>
  <c r="N243"/>
  <c r="AG276"/>
  <c r="I247"/>
  <c r="AI276" s="1"/>
  <c r="H247"/>
  <c r="AH276" s="1"/>
  <c r="AK280"/>
  <c r="L251"/>
  <c r="AL280" s="1"/>
  <c r="N251"/>
  <c r="AG284"/>
  <c r="I255"/>
  <c r="AI284" s="1"/>
  <c r="H255"/>
  <c r="AH284" s="1"/>
  <c r="AN305"/>
  <c r="O277"/>
  <c r="AN307"/>
  <c r="O279"/>
  <c r="AO307" s="1"/>
  <c r="AN309"/>
  <c r="O281"/>
  <c r="AO309" s="1"/>
  <c r="AN311"/>
  <c r="O283"/>
  <c r="AO311" s="1"/>
  <c r="AN313"/>
  <c r="O285"/>
  <c r="AO313" s="1"/>
  <c r="AN315"/>
  <c r="O287"/>
  <c r="AO315" s="1"/>
  <c r="AN317"/>
  <c r="O289"/>
  <c r="AO317" s="1"/>
  <c r="AN319"/>
  <c r="O291"/>
  <c r="AO319" s="1"/>
  <c r="AN321"/>
  <c r="O293"/>
  <c r="AO321" s="1"/>
  <c r="AN323"/>
  <c r="O295"/>
  <c r="AO323" s="1"/>
  <c r="AN325"/>
  <c r="O297"/>
  <c r="AO325" s="1"/>
  <c r="AN327"/>
  <c r="O299"/>
  <c r="AO327" s="1"/>
  <c r="AN329"/>
  <c r="O301"/>
  <c r="AO329" s="1"/>
  <c r="AN331"/>
  <c r="O303"/>
  <c r="AO331" s="1"/>
  <c r="AN333"/>
  <c r="O305"/>
  <c r="AO333" s="1"/>
  <c r="AG303"/>
  <c r="H275"/>
  <c r="AH303" s="1"/>
  <c r="I275"/>
  <c r="AI303" s="1"/>
  <c r="AK303"/>
  <c r="L275"/>
  <c r="AL303" s="1"/>
  <c r="N275"/>
  <c r="AN303" s="1"/>
  <c r="AG304"/>
  <c r="H276"/>
  <c r="AH304" s="1"/>
  <c r="I276"/>
  <c r="AI304" s="1"/>
  <c r="AK304"/>
  <c r="L276"/>
  <c r="Y277" s="1"/>
  <c r="N276"/>
  <c r="AK255"/>
  <c r="N226"/>
  <c r="L226"/>
  <c r="AL255" s="1"/>
  <c r="AG259"/>
  <c r="I230"/>
  <c r="AI259" s="1"/>
  <c r="H230"/>
  <c r="AH259" s="1"/>
  <c r="AK263"/>
  <c r="N234"/>
  <c r="L234"/>
  <c r="AL263" s="1"/>
  <c r="AG267"/>
  <c r="I238"/>
  <c r="AI267" s="1"/>
  <c r="H238"/>
  <c r="AH267" s="1"/>
  <c r="AK271"/>
  <c r="N242"/>
  <c r="L242"/>
  <c r="AL271" s="1"/>
  <c r="AG275"/>
  <c r="I246"/>
  <c r="AI275" s="1"/>
  <c r="H246"/>
  <c r="AH275" s="1"/>
  <c r="AK279"/>
  <c r="N250"/>
  <c r="L250"/>
  <c r="AL279" s="1"/>
  <c r="AG283"/>
  <c r="I254"/>
  <c r="AI283" s="1"/>
  <c r="H254"/>
  <c r="AH283" s="1"/>
  <c r="AL306"/>
  <c r="Y278"/>
  <c r="AL308"/>
  <c r="Y280"/>
  <c r="AL310"/>
  <c r="Y282"/>
  <c r="AL312"/>
  <c r="Y284"/>
  <c r="AL314"/>
  <c r="Y286"/>
  <c r="AL316"/>
  <c r="Y288"/>
  <c r="AL318"/>
  <c r="Y290"/>
  <c r="AL320"/>
  <c r="Y292"/>
  <c r="AL322"/>
  <c r="Y294"/>
  <c r="AL324"/>
  <c r="Y296"/>
  <c r="AL326"/>
  <c r="Y298"/>
  <c r="AL328"/>
  <c r="Y300"/>
  <c r="AL330"/>
  <c r="Y302"/>
  <c r="AL332"/>
  <c r="Y304"/>
  <c r="AL334"/>
  <c r="Y306"/>
  <c r="AG254"/>
  <c r="I225"/>
  <c r="AI254" s="1"/>
  <c r="H225"/>
  <c r="AH254" s="1"/>
  <c r="AK258"/>
  <c r="L229"/>
  <c r="AL258" s="1"/>
  <c r="N229"/>
  <c r="AK262"/>
  <c r="L233"/>
  <c r="AL262" s="1"/>
  <c r="N233"/>
  <c r="AG266"/>
  <c r="I237"/>
  <c r="AI266" s="1"/>
  <c r="H237"/>
  <c r="AH266" s="1"/>
  <c r="AK270"/>
  <c r="L241"/>
  <c r="AL270" s="1"/>
  <c r="N241"/>
  <c r="AG274"/>
  <c r="I245"/>
  <c r="AI274" s="1"/>
  <c r="H245"/>
  <c r="AH274" s="1"/>
  <c r="AK278"/>
  <c r="L249"/>
  <c r="AL278" s="1"/>
  <c r="N249"/>
  <c r="AG282"/>
  <c r="I253"/>
  <c r="AI282" s="1"/>
  <c r="H253"/>
  <c r="AH282" s="1"/>
  <c r="J7"/>
  <c r="K6"/>
  <c r="G191"/>
  <c r="W111"/>
  <c r="X111" s="1"/>
  <c r="V110"/>
  <c r="Z111"/>
  <c r="E191"/>
  <c r="F191"/>
  <c r="D191"/>
  <c r="C191"/>
  <c r="B191"/>
  <c r="S62"/>
  <c r="J64"/>
  <c r="K63"/>
  <c r="R64"/>
  <c r="S63"/>
  <c r="Z64"/>
  <c r="AA63"/>
  <c r="AA27"/>
  <c r="R9"/>
  <c r="S9" s="1"/>
  <c r="J40" i="1"/>
  <c r="K40" s="1"/>
  <c r="J9"/>
  <c r="J69"/>
  <c r="AL27" i="7" l="1"/>
  <c r="Z7"/>
  <c r="X7"/>
  <c r="W7"/>
  <c r="Z8"/>
  <c r="Z5"/>
  <c r="X5"/>
  <c r="W5"/>
  <c r="Z9"/>
  <c r="X9"/>
  <c r="W9"/>
  <c r="Z6"/>
  <c r="Z10"/>
  <c r="M10"/>
  <c r="N9"/>
  <c r="Z11" i="6"/>
  <c r="AT9"/>
  <c r="R10"/>
  <c r="AO8"/>
  <c r="S9"/>
  <c r="J9"/>
  <c r="AJ7"/>
  <c r="K8"/>
  <c r="AN279" i="2"/>
  <c r="O250"/>
  <c r="AO279" s="1"/>
  <c r="AN271"/>
  <c r="O242"/>
  <c r="AO271" s="1"/>
  <c r="AN263"/>
  <c r="O234"/>
  <c r="AO263" s="1"/>
  <c r="AN255"/>
  <c r="O226"/>
  <c r="AO255" s="1"/>
  <c r="AN304"/>
  <c r="O276"/>
  <c r="AO305"/>
  <c r="AN254"/>
  <c r="O225"/>
  <c r="AN283"/>
  <c r="O254"/>
  <c r="AO283" s="1"/>
  <c r="AN275"/>
  <c r="O246"/>
  <c r="AO275" s="1"/>
  <c r="AN267"/>
  <c r="O238"/>
  <c r="AO267" s="1"/>
  <c r="AN259"/>
  <c r="O230"/>
  <c r="AO259" s="1"/>
  <c r="U112"/>
  <c r="R114"/>
  <c r="S113"/>
  <c r="U113" s="1"/>
  <c r="J114"/>
  <c r="K113"/>
  <c r="AN284"/>
  <c r="O255"/>
  <c r="AO284" s="1"/>
  <c r="AN276"/>
  <c r="O247"/>
  <c r="AO276" s="1"/>
  <c r="AN268"/>
  <c r="O239"/>
  <c r="AO268" s="1"/>
  <c r="AN260"/>
  <c r="O231"/>
  <c r="AO260" s="1"/>
  <c r="AN277"/>
  <c r="O248"/>
  <c r="AO277" s="1"/>
  <c r="AN269"/>
  <c r="O240"/>
  <c r="AO269" s="1"/>
  <c r="AN261"/>
  <c r="O232"/>
  <c r="AO261" s="1"/>
  <c r="AN258"/>
  <c r="O229"/>
  <c r="AO258" s="1"/>
  <c r="Z112"/>
  <c r="AN278"/>
  <c r="O249"/>
  <c r="AO278" s="1"/>
  <c r="AN270"/>
  <c r="O241"/>
  <c r="AO270" s="1"/>
  <c r="AN262"/>
  <c r="O233"/>
  <c r="AO262" s="1"/>
  <c r="AL304"/>
  <c r="Y276"/>
  <c r="Y307" s="1"/>
  <c r="AN280"/>
  <c r="O251"/>
  <c r="AO280" s="1"/>
  <c r="AN272"/>
  <c r="O243"/>
  <c r="AO272" s="1"/>
  <c r="AN264"/>
  <c r="O235"/>
  <c r="AO264" s="1"/>
  <c r="AN256"/>
  <c r="O227"/>
  <c r="AO256" s="1"/>
  <c r="AN281"/>
  <c r="O252"/>
  <c r="AO281" s="1"/>
  <c r="AN273"/>
  <c r="O244"/>
  <c r="AO273" s="1"/>
  <c r="AN265"/>
  <c r="O236"/>
  <c r="AO265" s="1"/>
  <c r="AN257"/>
  <c r="O228"/>
  <c r="AO257" s="1"/>
  <c r="AN282"/>
  <c r="O253"/>
  <c r="AO282" s="1"/>
  <c r="AN274"/>
  <c r="O245"/>
  <c r="AO274" s="1"/>
  <c r="AN266"/>
  <c r="O237"/>
  <c r="AO266" s="1"/>
  <c r="J8"/>
  <c r="K7"/>
  <c r="AA110"/>
  <c r="W110"/>
  <c r="X110" s="1"/>
  <c r="AA111"/>
  <c r="Z65"/>
  <c r="AA64"/>
  <c r="R65"/>
  <c r="S64"/>
  <c r="J65"/>
  <c r="K64"/>
  <c r="R10"/>
  <c r="S10" s="1"/>
  <c r="J41" i="1"/>
  <c r="K41" s="1"/>
  <c r="J10"/>
  <c r="J70"/>
  <c r="Z27" i="7" l="1"/>
  <c r="M11"/>
  <c r="N10"/>
  <c r="Z12" i="6"/>
  <c r="AT10"/>
  <c r="AA11"/>
  <c r="R11"/>
  <c r="AO9"/>
  <c r="S10"/>
  <c r="J10"/>
  <c r="AJ8"/>
  <c r="K9"/>
  <c r="Y113" i="2"/>
  <c r="V113"/>
  <c r="R115"/>
  <c r="S114"/>
  <c r="Y112"/>
  <c r="V112"/>
  <c r="J115"/>
  <c r="K114"/>
  <c r="AO254"/>
  <c r="J225"/>
  <c r="T276"/>
  <c r="AO304"/>
  <c r="P276"/>
  <c r="P277" s="1"/>
  <c r="P278" s="1"/>
  <c r="P279" s="1"/>
  <c r="P280" s="1"/>
  <c r="P281" s="1"/>
  <c r="P282" s="1"/>
  <c r="P283" s="1"/>
  <c r="P284" s="1"/>
  <c r="P285" s="1"/>
  <c r="P286" s="1"/>
  <c r="P287" s="1"/>
  <c r="P288" s="1"/>
  <c r="P289" s="1"/>
  <c r="P290" s="1"/>
  <c r="P291" s="1"/>
  <c r="P292" s="1"/>
  <c r="P293" s="1"/>
  <c r="P294" s="1"/>
  <c r="P295" s="1"/>
  <c r="P296" s="1"/>
  <c r="P297" s="1"/>
  <c r="P298" s="1"/>
  <c r="P299" s="1"/>
  <c r="P300" s="1"/>
  <c r="P301" s="1"/>
  <c r="P302" s="1"/>
  <c r="P303" s="1"/>
  <c r="P304" s="1"/>
  <c r="P305" s="1"/>
  <c r="P306" s="1"/>
  <c r="J276"/>
  <c r="J9"/>
  <c r="K8"/>
  <c r="J66"/>
  <c r="K65"/>
  <c r="R66"/>
  <c r="S65"/>
  <c r="Z66"/>
  <c r="AA65"/>
  <c r="R11"/>
  <c r="S11" s="1"/>
  <c r="J42" i="1"/>
  <c r="K42" s="1"/>
  <c r="J11"/>
  <c r="J71"/>
  <c r="M12" i="7" l="1"/>
  <c r="N11"/>
  <c r="Z13" i="6"/>
  <c r="AT11"/>
  <c r="AA12"/>
  <c r="R12"/>
  <c r="AO10"/>
  <c r="S11"/>
  <c r="J11"/>
  <c r="AJ9"/>
  <c r="K10"/>
  <c r="T277" i="2"/>
  <c r="V276"/>
  <c r="W112"/>
  <c r="X112" s="1"/>
  <c r="AA112"/>
  <c r="U114"/>
  <c r="R116"/>
  <c r="S115"/>
  <c r="U115" s="1"/>
  <c r="Z113"/>
  <c r="AJ304"/>
  <c r="J277"/>
  <c r="Z276"/>
  <c r="AJ254"/>
  <c r="J226"/>
  <c r="J116"/>
  <c r="K115"/>
  <c r="W113"/>
  <c r="X113" s="1"/>
  <c r="AA113"/>
  <c r="J10"/>
  <c r="K9"/>
  <c r="Z67"/>
  <c r="AA66"/>
  <c r="R67"/>
  <c r="S66"/>
  <c r="J67"/>
  <c r="K66"/>
  <c r="R12"/>
  <c r="S12" s="1"/>
  <c r="J43" i="1"/>
  <c r="K43" s="1"/>
  <c r="J12"/>
  <c r="J72"/>
  <c r="M13" i="7" l="1"/>
  <c r="N12"/>
  <c r="Z14" i="6"/>
  <c r="AT12"/>
  <c r="AA13"/>
  <c r="R13"/>
  <c r="AO11"/>
  <c r="S12"/>
  <c r="J12"/>
  <c r="AJ10"/>
  <c r="K11"/>
  <c r="J117" i="2"/>
  <c r="K116"/>
  <c r="AJ305"/>
  <c r="Z277"/>
  <c r="J278"/>
  <c r="Z114"/>
  <c r="T278"/>
  <c r="V277"/>
  <c r="J227"/>
  <c r="AJ255"/>
  <c r="Y115"/>
  <c r="V115"/>
  <c r="R117"/>
  <c r="S116"/>
  <c r="U116" s="1"/>
  <c r="Y114"/>
  <c r="V114"/>
  <c r="J11"/>
  <c r="K10"/>
  <c r="J68"/>
  <c r="K67"/>
  <c r="R68"/>
  <c r="S67"/>
  <c r="Z68"/>
  <c r="AA67"/>
  <c r="R13"/>
  <c r="S13" s="1"/>
  <c r="J44" i="1"/>
  <c r="K44" s="1"/>
  <c r="J13"/>
  <c r="J73"/>
  <c r="M14" i="7" l="1"/>
  <c r="N13"/>
  <c r="Z15" i="6"/>
  <c r="AT13"/>
  <c r="AA14"/>
  <c r="R14"/>
  <c r="AO12"/>
  <c r="S13"/>
  <c r="J13"/>
  <c r="AJ11"/>
  <c r="K12"/>
  <c r="W114" i="2"/>
  <c r="X114" s="1"/>
  <c r="AA114"/>
  <c r="Y116"/>
  <c r="V116"/>
  <c r="R118"/>
  <c r="S117"/>
  <c r="U117" s="1"/>
  <c r="J228"/>
  <c r="AJ256"/>
  <c r="V278"/>
  <c r="T279"/>
  <c r="Z115"/>
  <c r="J118"/>
  <c r="K117"/>
  <c r="W115"/>
  <c r="X115" s="1"/>
  <c r="AA115"/>
  <c r="AJ306"/>
  <c r="Z278"/>
  <c r="J279"/>
  <c r="J12"/>
  <c r="K11"/>
  <c r="Z69"/>
  <c r="AA68"/>
  <c r="R69"/>
  <c r="S68"/>
  <c r="J69"/>
  <c r="K68"/>
  <c r="R14"/>
  <c r="S14" s="1"/>
  <c r="J45" i="1"/>
  <c r="K45" s="1"/>
  <c r="J14"/>
  <c r="J74"/>
  <c r="M15" i="7" l="1"/>
  <c r="N14"/>
  <c r="Z16" i="6"/>
  <c r="AT14"/>
  <c r="AA15"/>
  <c r="R15"/>
  <c r="AO13"/>
  <c r="S14"/>
  <c r="J14"/>
  <c r="AJ12"/>
  <c r="K13"/>
  <c r="AJ307" i="2"/>
  <c r="J280"/>
  <c r="Z279"/>
  <c r="J119"/>
  <c r="K118"/>
  <c r="Z116"/>
  <c r="J229"/>
  <c r="AJ257"/>
  <c r="W116"/>
  <c r="X116" s="1"/>
  <c r="AA116"/>
  <c r="V279"/>
  <c r="T280"/>
  <c r="Y117"/>
  <c r="V117"/>
  <c r="R119"/>
  <c r="S118"/>
  <c r="J13"/>
  <c r="K12"/>
  <c r="J70"/>
  <c r="K69"/>
  <c r="R70"/>
  <c r="S69"/>
  <c r="Z70"/>
  <c r="AA69"/>
  <c r="R15"/>
  <c r="S15" s="1"/>
  <c r="J46" i="1"/>
  <c r="K46" s="1"/>
  <c r="J15"/>
  <c r="J75"/>
  <c r="M16" i="7" l="1"/>
  <c r="N15"/>
  <c r="Z17" i="6"/>
  <c r="AT15"/>
  <c r="AA16"/>
  <c r="R16"/>
  <c r="AO14"/>
  <c r="S15"/>
  <c r="J15"/>
  <c r="AJ13"/>
  <c r="K14"/>
  <c r="W117" i="2"/>
  <c r="X117" s="1"/>
  <c r="T281"/>
  <c r="V280"/>
  <c r="U118"/>
  <c r="R120"/>
  <c r="S119"/>
  <c r="U119" s="1"/>
  <c r="J230"/>
  <c r="AJ258"/>
  <c r="Z117"/>
  <c r="J120"/>
  <c r="K119"/>
  <c r="AJ308"/>
  <c r="J281"/>
  <c r="Z280"/>
  <c r="J14"/>
  <c r="K13"/>
  <c r="Z71"/>
  <c r="AA70"/>
  <c r="R71"/>
  <c r="S70"/>
  <c r="J71"/>
  <c r="K70"/>
  <c r="R16"/>
  <c r="S16" s="1"/>
  <c r="J47" i="1"/>
  <c r="K47" s="1"/>
  <c r="J16"/>
  <c r="J48"/>
  <c r="K48" s="1"/>
  <c r="J76"/>
  <c r="M17" i="7" l="1"/>
  <c r="N16"/>
  <c r="Z18" i="6"/>
  <c r="AT16"/>
  <c r="AA17"/>
  <c r="R17"/>
  <c r="AO15"/>
  <c r="S16"/>
  <c r="J16"/>
  <c r="AJ14"/>
  <c r="K15"/>
  <c r="AJ309" i="2"/>
  <c r="J282"/>
  <c r="Z281"/>
  <c r="J121"/>
  <c r="K120"/>
  <c r="Z118"/>
  <c r="J231"/>
  <c r="AJ259"/>
  <c r="AA117"/>
  <c r="Y119"/>
  <c r="V119"/>
  <c r="R121"/>
  <c r="S120"/>
  <c r="U120" s="1"/>
  <c r="Y118"/>
  <c r="V118"/>
  <c r="T282"/>
  <c r="V281"/>
  <c r="J15"/>
  <c r="K14"/>
  <c r="J72"/>
  <c r="K71"/>
  <c r="R72"/>
  <c r="S71"/>
  <c r="Z72"/>
  <c r="AA71"/>
  <c r="R17"/>
  <c r="S17" s="1"/>
  <c r="J17" i="1"/>
  <c r="J49"/>
  <c r="K49" s="1"/>
  <c r="J77"/>
  <c r="M18" i="7" l="1"/>
  <c r="N17"/>
  <c r="Z19" i="6"/>
  <c r="AT17"/>
  <c r="AA18"/>
  <c r="R18"/>
  <c r="AO16"/>
  <c r="S17"/>
  <c r="J17"/>
  <c r="AJ15"/>
  <c r="K16"/>
  <c r="T283" i="2"/>
  <c r="V282"/>
  <c r="W119"/>
  <c r="X119" s="1"/>
  <c r="J232"/>
  <c r="AJ260"/>
  <c r="Z119"/>
  <c r="AA119" s="1"/>
  <c r="W118"/>
  <c r="X118" s="1"/>
  <c r="AA118"/>
  <c r="Y120"/>
  <c r="V120"/>
  <c r="R122"/>
  <c r="S121"/>
  <c r="U121" s="1"/>
  <c r="J122"/>
  <c r="K121"/>
  <c r="AJ310"/>
  <c r="Z282"/>
  <c r="J283"/>
  <c r="J16"/>
  <c r="K15"/>
  <c r="Z73"/>
  <c r="AA72"/>
  <c r="R73"/>
  <c r="S72"/>
  <c r="J73"/>
  <c r="K72"/>
  <c r="R18"/>
  <c r="S18" s="1"/>
  <c r="J18" i="1"/>
  <c r="J50"/>
  <c r="K50" s="1"/>
  <c r="J78"/>
  <c r="M19" i="7" l="1"/>
  <c r="N18"/>
  <c r="Z20" i="6"/>
  <c r="AT18"/>
  <c r="AA19"/>
  <c r="R19"/>
  <c r="AO17"/>
  <c r="S18"/>
  <c r="J18"/>
  <c r="AJ16"/>
  <c r="K17"/>
  <c r="AJ311" i="2"/>
  <c r="J284"/>
  <c r="Z283"/>
  <c r="R123"/>
  <c r="S122"/>
  <c r="U122" s="1"/>
  <c r="J123"/>
  <c r="K122"/>
  <c r="W120"/>
  <c r="X120" s="1"/>
  <c r="T284"/>
  <c r="V283"/>
  <c r="Y121"/>
  <c r="V121"/>
  <c r="Z120"/>
  <c r="AA120" s="1"/>
  <c r="J233"/>
  <c r="AJ261"/>
  <c r="J17"/>
  <c r="K16"/>
  <c r="J74"/>
  <c r="K73"/>
  <c r="R74"/>
  <c r="S73"/>
  <c r="Z74"/>
  <c r="AA73"/>
  <c r="R19"/>
  <c r="S19" s="1"/>
  <c r="J19" i="1"/>
  <c r="J51"/>
  <c r="K51" s="1"/>
  <c r="J79"/>
  <c r="M20" i="7" l="1"/>
  <c r="N19"/>
  <c r="Z21" i="6"/>
  <c r="AT19"/>
  <c r="AA20"/>
  <c r="R20"/>
  <c r="AO18"/>
  <c r="S19"/>
  <c r="J19"/>
  <c r="AJ17"/>
  <c r="K18"/>
  <c r="J234" i="2"/>
  <c r="AJ262"/>
  <c r="Z121"/>
  <c r="T285"/>
  <c r="V284"/>
  <c r="J124"/>
  <c r="K123"/>
  <c r="W121"/>
  <c r="X121" s="1"/>
  <c r="AA121"/>
  <c r="Y122"/>
  <c r="V122"/>
  <c r="R124"/>
  <c r="S123"/>
  <c r="U123" s="1"/>
  <c r="AJ312"/>
  <c r="J285"/>
  <c r="Z284"/>
  <c r="J18"/>
  <c r="K17"/>
  <c r="Z75"/>
  <c r="AA74"/>
  <c r="R75"/>
  <c r="S74"/>
  <c r="J75"/>
  <c r="K74"/>
  <c r="R20"/>
  <c r="S20" s="1"/>
  <c r="J20" i="1"/>
  <c r="J52"/>
  <c r="K52" s="1"/>
  <c r="J80"/>
  <c r="M21" i="7" l="1"/>
  <c r="N20"/>
  <c r="Z22" i="6"/>
  <c r="AT20"/>
  <c r="AA21"/>
  <c r="R21"/>
  <c r="AO19"/>
  <c r="S20"/>
  <c r="J20"/>
  <c r="AJ18"/>
  <c r="K19"/>
  <c r="AJ313" i="2"/>
  <c r="J286"/>
  <c r="Z285"/>
  <c r="Y123"/>
  <c r="V123"/>
  <c r="R125"/>
  <c r="S124"/>
  <c r="U124" s="1"/>
  <c r="K124"/>
  <c r="J125"/>
  <c r="V285"/>
  <c r="T286"/>
  <c r="Z122"/>
  <c r="J235"/>
  <c r="AJ263"/>
  <c r="W122"/>
  <c r="X122" s="1"/>
  <c r="AA122"/>
  <c r="J19"/>
  <c r="K18"/>
  <c r="J76"/>
  <c r="K75"/>
  <c r="R76"/>
  <c r="S75"/>
  <c r="Z76"/>
  <c r="AA75"/>
  <c r="R21"/>
  <c r="S21" s="1"/>
  <c r="J21" i="1"/>
  <c r="J53"/>
  <c r="K53" s="1"/>
  <c r="J81"/>
  <c r="M22" i="7" l="1"/>
  <c r="N21"/>
  <c r="Z23" i="6"/>
  <c r="AT21"/>
  <c r="AA22"/>
  <c r="R22"/>
  <c r="AO20"/>
  <c r="S21"/>
  <c r="J21"/>
  <c r="AJ19"/>
  <c r="K20"/>
  <c r="T287" i="2"/>
  <c r="V286"/>
  <c r="J126"/>
  <c r="K125"/>
  <c r="W123"/>
  <c r="X123" s="1"/>
  <c r="J236"/>
  <c r="AJ264"/>
  <c r="Z123"/>
  <c r="Y124"/>
  <c r="V124"/>
  <c r="R126"/>
  <c r="S125"/>
  <c r="U125" s="1"/>
  <c r="AJ314"/>
  <c r="Z286"/>
  <c r="J287"/>
  <c r="J20"/>
  <c r="K19"/>
  <c r="Z77"/>
  <c r="AA76"/>
  <c r="R77"/>
  <c r="S76"/>
  <c r="J77"/>
  <c r="K76"/>
  <c r="R22"/>
  <c r="S22" s="1"/>
  <c r="J22" i="1"/>
  <c r="J54"/>
  <c r="K54" s="1"/>
  <c r="J82"/>
  <c r="M23" i="7" l="1"/>
  <c r="N22"/>
  <c r="Z24" i="6"/>
  <c r="AT22"/>
  <c r="AA23"/>
  <c r="R23"/>
  <c r="AO21"/>
  <c r="S22"/>
  <c r="J22"/>
  <c r="AJ20"/>
  <c r="K21"/>
  <c r="Y125" i="2"/>
  <c r="V125"/>
  <c r="R127"/>
  <c r="S126"/>
  <c r="U126" s="1"/>
  <c r="Z124"/>
  <c r="J237"/>
  <c r="AJ265"/>
  <c r="J127"/>
  <c r="K126"/>
  <c r="T288"/>
  <c r="V287"/>
  <c r="AJ315"/>
  <c r="Z287"/>
  <c r="J288"/>
  <c r="W124"/>
  <c r="X124" s="1"/>
  <c r="AA124"/>
  <c r="AA123"/>
  <c r="J21"/>
  <c r="K20"/>
  <c r="J78"/>
  <c r="K77"/>
  <c r="R78"/>
  <c r="S77"/>
  <c r="Z78"/>
  <c r="AA77"/>
  <c r="R23"/>
  <c r="S23" s="1"/>
  <c r="J23" i="1"/>
  <c r="J55"/>
  <c r="K55" s="1"/>
  <c r="J83"/>
  <c r="M24" i="7" l="1"/>
  <c r="N23"/>
  <c r="AA24" i="6"/>
  <c r="AT23"/>
  <c r="Z25"/>
  <c r="R24"/>
  <c r="AO22"/>
  <c r="S23"/>
  <c r="J23"/>
  <c r="AJ21"/>
  <c r="K22"/>
  <c r="AJ316" i="2"/>
  <c r="Z288"/>
  <c r="J289"/>
  <c r="V288"/>
  <c r="T289"/>
  <c r="Y126"/>
  <c r="V126"/>
  <c r="R128"/>
  <c r="S127"/>
  <c r="U127" s="1"/>
  <c r="J128"/>
  <c r="K127"/>
  <c r="J238"/>
  <c r="AJ266"/>
  <c r="Z125"/>
  <c r="W125"/>
  <c r="X125" s="1"/>
  <c r="AA125"/>
  <c r="J22"/>
  <c r="K21"/>
  <c r="Z79"/>
  <c r="AA79" s="1"/>
  <c r="AA78"/>
  <c r="R79"/>
  <c r="S79" s="1"/>
  <c r="S78"/>
  <c r="J79"/>
  <c r="K79" s="1"/>
  <c r="K80" s="1"/>
  <c r="K78"/>
  <c r="R24"/>
  <c r="S24" s="1"/>
  <c r="J24" i="1"/>
  <c r="J56"/>
  <c r="K56" s="1"/>
  <c r="J84"/>
  <c r="M25" i="7" l="1"/>
  <c r="N24"/>
  <c r="Z26" i="6"/>
  <c r="AT24"/>
  <c r="AA25"/>
  <c r="R25"/>
  <c r="AO23"/>
  <c r="S24"/>
  <c r="J24"/>
  <c r="AJ22"/>
  <c r="K23"/>
  <c r="J129" i="2"/>
  <c r="K128"/>
  <c r="W126"/>
  <c r="X126" s="1"/>
  <c r="V289"/>
  <c r="T290"/>
  <c r="AJ317"/>
  <c r="Z289"/>
  <c r="J290"/>
  <c r="Z126"/>
  <c r="J239"/>
  <c r="AJ267"/>
  <c r="Y127"/>
  <c r="V127"/>
  <c r="R129"/>
  <c r="S128"/>
  <c r="U128" s="1"/>
  <c r="J23"/>
  <c r="K22"/>
  <c r="S80"/>
  <c r="AA80"/>
  <c r="R25"/>
  <c r="S25" s="1"/>
  <c r="J25" i="1"/>
  <c r="J57"/>
  <c r="K57" s="1"/>
  <c r="J85"/>
  <c r="M26" i="7" l="1"/>
  <c r="N26" s="1"/>
  <c r="N27" s="1"/>
  <c r="N25"/>
  <c r="AA26" i="6"/>
  <c r="AA27" s="1"/>
  <c r="AT25"/>
  <c r="R26"/>
  <c r="AO24"/>
  <c r="S25"/>
  <c r="J25"/>
  <c r="AJ23"/>
  <c r="K24"/>
  <c r="W127" i="2"/>
  <c r="X127" s="1"/>
  <c r="AJ318"/>
  <c r="J291"/>
  <c r="Z290"/>
  <c r="J130"/>
  <c r="K129"/>
  <c r="Y128"/>
  <c r="V128"/>
  <c r="R130"/>
  <c r="S129"/>
  <c r="U129" s="1"/>
  <c r="J240"/>
  <c r="AJ268"/>
  <c r="Z127"/>
  <c r="V290"/>
  <c r="T291"/>
  <c r="AA126"/>
  <c r="J24"/>
  <c r="K23"/>
  <c r="R26"/>
  <c r="J26" i="1"/>
  <c r="K27" s="1"/>
  <c r="J58"/>
  <c r="K58" s="1"/>
  <c r="J86"/>
  <c r="S26" i="6" l="1"/>
  <c r="S27" s="1"/>
  <c r="AO25"/>
  <c r="J26"/>
  <c r="AJ24"/>
  <c r="K25"/>
  <c r="Z128" i="2"/>
  <c r="J241"/>
  <c r="AJ269"/>
  <c r="W128"/>
  <c r="X128" s="1"/>
  <c r="AA128"/>
  <c r="J131"/>
  <c r="K130"/>
  <c r="AJ319"/>
  <c r="Z291"/>
  <c r="J292"/>
  <c r="AA127"/>
  <c r="T292"/>
  <c r="V291"/>
  <c r="Y129"/>
  <c r="V129"/>
  <c r="R131"/>
  <c r="S130"/>
  <c r="U130" s="1"/>
  <c r="S27"/>
  <c r="S26"/>
  <c r="J25"/>
  <c r="K24"/>
  <c r="J59" i="1"/>
  <c r="J87"/>
  <c r="K88" s="1"/>
  <c r="K26" i="6" l="1"/>
  <c r="K27" s="1"/>
  <c r="AJ25"/>
  <c r="Y130" i="2"/>
  <c r="V130"/>
  <c r="S131"/>
  <c r="S132" s="1"/>
  <c r="V292"/>
  <c r="T293"/>
  <c r="AJ320"/>
  <c r="Z292"/>
  <c r="J293"/>
  <c r="J242"/>
  <c r="AJ270"/>
  <c r="Z129"/>
  <c r="W129"/>
  <c r="X129" s="1"/>
  <c r="AA129"/>
  <c r="K131"/>
  <c r="K132" s="1"/>
  <c r="J26"/>
  <c r="K26" s="1"/>
  <c r="K27" s="1"/>
  <c r="K25"/>
  <c r="K60" i="1"/>
  <c r="K59"/>
  <c r="AJ321" i="2" l="1"/>
  <c r="Z293"/>
  <c r="J294"/>
  <c r="Z130"/>
  <c r="J243"/>
  <c r="AJ271"/>
  <c r="V293"/>
  <c r="T294"/>
  <c r="W130"/>
  <c r="X130" s="1"/>
  <c r="AA130"/>
  <c r="T295" l="1"/>
  <c r="V294"/>
  <c r="AJ322"/>
  <c r="J295"/>
  <c r="Z294"/>
  <c r="J244"/>
  <c r="AJ272"/>
  <c r="Z131"/>
  <c r="J245" l="1"/>
  <c r="AJ273"/>
  <c r="T296"/>
  <c r="V295"/>
  <c r="AA131"/>
  <c r="AA132" s="1"/>
  <c r="AJ323"/>
  <c r="Z295"/>
  <c r="J296"/>
  <c r="V296" l="1"/>
  <c r="T297"/>
  <c r="J246"/>
  <c r="AJ274"/>
  <c r="AJ324"/>
  <c r="J297"/>
  <c r="Z296"/>
  <c r="J247" l="1"/>
  <c r="AJ275"/>
  <c r="AJ325"/>
  <c r="J298"/>
  <c r="Z297"/>
  <c r="T298"/>
  <c r="V297"/>
  <c r="J248" l="1"/>
  <c r="AJ276"/>
  <c r="V298"/>
  <c r="T299"/>
  <c r="AJ326"/>
  <c r="J299"/>
  <c r="Z298"/>
  <c r="J249" l="1"/>
  <c r="AJ277"/>
  <c r="AJ327"/>
  <c r="J300"/>
  <c r="Z299"/>
  <c r="T300"/>
  <c r="V299"/>
  <c r="J250" l="1"/>
  <c r="AJ278"/>
  <c r="T301"/>
  <c r="V300"/>
  <c r="AJ328"/>
  <c r="J301"/>
  <c r="Z300"/>
  <c r="T302" l="1"/>
  <c r="V301"/>
  <c r="J251"/>
  <c r="AJ279"/>
  <c r="AJ329"/>
  <c r="Z301"/>
  <c r="J302"/>
  <c r="AJ330" l="1"/>
  <c r="J303"/>
  <c r="Z302"/>
  <c r="J252"/>
  <c r="AJ280"/>
  <c r="T303"/>
  <c r="V302"/>
  <c r="T304" l="1"/>
  <c r="V303"/>
  <c r="J253"/>
  <c r="AJ281"/>
  <c r="AJ331"/>
  <c r="Z303"/>
  <c r="J304"/>
  <c r="AJ332" l="1"/>
  <c r="Z304"/>
  <c r="J305"/>
  <c r="J254"/>
  <c r="AJ282"/>
  <c r="T305"/>
  <c r="V304"/>
  <c r="J255" l="1"/>
  <c r="AJ284" s="1"/>
  <c r="AJ283"/>
  <c r="AJ333"/>
  <c r="Z305"/>
  <c r="J306"/>
  <c r="T306"/>
  <c r="V306" s="1"/>
  <c r="V307" s="1"/>
  <c r="V305"/>
  <c r="Z306" l="1"/>
  <c r="Z307" s="1"/>
  <c r="AJ334"/>
</calcChain>
</file>

<file path=xl/sharedStrings.xml><?xml version="1.0" encoding="utf-8"?>
<sst xmlns="http://schemas.openxmlformats.org/spreadsheetml/2006/main" count="780" uniqueCount="147">
  <si>
    <t>площадь модель</t>
  </si>
  <si>
    <t>свод е, мм</t>
  </si>
  <si>
    <t>площадь горения, мм2</t>
  </si>
  <si>
    <t>-</t>
  </si>
  <si>
    <t>Внутрикамерное давление</t>
  </si>
  <si>
    <t>свод</t>
  </si>
  <si>
    <t>площадь горения</t>
  </si>
  <si>
    <t>Тяга</t>
  </si>
  <si>
    <t>в МПа</t>
  </si>
  <si>
    <t>в кН</t>
  </si>
  <si>
    <t>в кгс</t>
  </si>
  <si>
    <t>Импульс тяги</t>
  </si>
  <si>
    <t>Время работы</t>
  </si>
  <si>
    <t>Скорость горения</t>
  </si>
  <si>
    <t>Заряд 2 - Канальный с компенсатором</t>
  </si>
  <si>
    <t>Заряд 1 - Канальный</t>
  </si>
  <si>
    <t>Заряд 3 - Комбинированный</t>
  </si>
  <si>
    <t>ВБП при T= 20</t>
  </si>
  <si>
    <t>ВБП при Т=-40</t>
  </si>
  <si>
    <t>Pk</t>
  </si>
  <si>
    <t>ВБП при T= 50</t>
  </si>
  <si>
    <t>Заряд 3 - Комбинированный U=7,924P0,4</t>
  </si>
  <si>
    <t>Температура</t>
  </si>
  <si>
    <t>x</t>
  </si>
  <si>
    <t>РДГ-3 Скорость горения, мм/с, при давлении, Мпа</t>
  </si>
  <si>
    <t>f(x)</t>
  </si>
  <si>
    <t>lnx</t>
  </si>
  <si>
    <t>lnf(x)</t>
  </si>
  <si>
    <t>Mx</t>
  </si>
  <si>
    <t>Mxy</t>
  </si>
  <si>
    <t>My</t>
  </si>
  <si>
    <t>Mx2</t>
  </si>
  <si>
    <t>kv u</t>
  </si>
  <si>
    <t>F(x)</t>
  </si>
  <si>
    <t>ИД</t>
  </si>
  <si>
    <t>Расчет</t>
  </si>
  <si>
    <t>Апроксиммация</t>
  </si>
  <si>
    <t>A</t>
  </si>
  <si>
    <t>B</t>
  </si>
  <si>
    <t>nu</t>
  </si>
  <si>
    <t>U1</t>
  </si>
  <si>
    <t>ВБП при Т=20</t>
  </si>
  <si>
    <t>ВБП при Т=50</t>
  </si>
  <si>
    <t>РДГ-3 (потенциально) Скорость горения, мм/с, при давлении, Мпа</t>
  </si>
  <si>
    <t>5,883(60)</t>
  </si>
  <si>
    <t>7,845(80)</t>
  </si>
  <si>
    <t>9,806(100)</t>
  </si>
  <si>
    <t>11,768(120)</t>
  </si>
  <si>
    <t>13,729(140)</t>
  </si>
  <si>
    <t>15,69(160)</t>
  </si>
  <si>
    <t>17,6582(180)</t>
  </si>
  <si>
    <t>Заряд 3 - РДГ-3</t>
  </si>
  <si>
    <t xml:space="preserve">Обратная задача </t>
  </si>
  <si>
    <t>S РДГ-1</t>
  </si>
  <si>
    <t>S РДГ-3</t>
  </si>
  <si>
    <t>Для T=+50</t>
  </si>
  <si>
    <t>R мм</t>
  </si>
  <si>
    <t>t мм</t>
  </si>
  <si>
    <t>R кгс</t>
  </si>
  <si>
    <t>t работы с</t>
  </si>
  <si>
    <t>pk</t>
  </si>
  <si>
    <t>Для -40</t>
  </si>
  <si>
    <t>тяга в кгс</t>
  </si>
  <si>
    <t>Для +50</t>
  </si>
  <si>
    <t>РДГ-3</t>
  </si>
  <si>
    <t>Номинал</t>
  </si>
  <si>
    <t>тяга</t>
  </si>
  <si>
    <t>скорость горения</t>
  </si>
  <si>
    <t>время работы</t>
  </si>
  <si>
    <t>импульс +50</t>
  </si>
  <si>
    <t>импульс -40</t>
  </si>
  <si>
    <t>Расход</t>
  </si>
  <si>
    <t>def свод</t>
  </si>
  <si>
    <t>Заряд 3 - Комбинированный Состав -1</t>
  </si>
  <si>
    <t>Состав 1</t>
  </si>
  <si>
    <t>Состав 2</t>
  </si>
  <si>
    <t>Обратная задача</t>
  </si>
  <si>
    <t>Sг</t>
  </si>
  <si>
    <t>Свод</t>
  </si>
  <si>
    <t>3,922(40)</t>
  </si>
  <si>
    <t>2,08(20)</t>
  </si>
  <si>
    <t>УСРЕДНЕНИЕ РДГ-3 (опытные данные) Скорость горения, мм/с, при давлении, Мпа</t>
  </si>
  <si>
    <t>43-18</t>
  </si>
  <si>
    <t>37-17</t>
  </si>
  <si>
    <t>43-18 в мм</t>
  </si>
  <si>
    <t>переводной 0,20408</t>
  </si>
  <si>
    <t>37-17 в мм</t>
  </si>
  <si>
    <t>20-60</t>
  </si>
  <si>
    <t>60-100</t>
  </si>
  <si>
    <t>60-120</t>
  </si>
  <si>
    <t>100-140</t>
  </si>
  <si>
    <t>100-160</t>
  </si>
  <si>
    <t>Расчет степенной функции U=U1*p^nu</t>
  </si>
  <si>
    <t>ln(p)</t>
  </si>
  <si>
    <t>ln(U)</t>
  </si>
  <si>
    <t>ln(U1)</t>
  </si>
  <si>
    <t>160-180</t>
  </si>
  <si>
    <t xml:space="preserve"> </t>
  </si>
  <si>
    <t>e</t>
  </si>
  <si>
    <t>F</t>
  </si>
  <si>
    <t>u</t>
  </si>
  <si>
    <t>t</t>
  </si>
  <si>
    <t>T=-40</t>
  </si>
  <si>
    <t>t=20</t>
  </si>
  <si>
    <t>f</t>
  </si>
  <si>
    <t>Все P</t>
  </si>
  <si>
    <t>РАСЧЕТ</t>
  </si>
  <si>
    <t>Т=-40</t>
  </si>
  <si>
    <t>Т=20</t>
  </si>
  <si>
    <t>Т=50</t>
  </si>
  <si>
    <t>P</t>
  </si>
  <si>
    <t>U</t>
  </si>
  <si>
    <t>Мас расх</t>
  </si>
  <si>
    <t>Iy*Phi</t>
  </si>
  <si>
    <t>Iy</t>
  </si>
  <si>
    <t>Расчет степенной функции с уточнением</t>
  </si>
  <si>
    <t>20-40</t>
  </si>
  <si>
    <t>40-60</t>
  </si>
  <si>
    <t>60-80</t>
  </si>
  <si>
    <t>80-100</t>
  </si>
  <si>
    <t>100-120</t>
  </si>
  <si>
    <t>120-140</t>
  </si>
  <si>
    <t>140-160</t>
  </si>
  <si>
    <t>Расчет графика скорости</t>
  </si>
  <si>
    <t>Pk atmos</t>
  </si>
  <si>
    <t>U gor</t>
  </si>
  <si>
    <t>Исходные данные</t>
  </si>
  <si>
    <t>ro</t>
  </si>
  <si>
    <t>Khi</t>
  </si>
  <si>
    <t>Rk</t>
  </si>
  <si>
    <t>Tk</t>
  </si>
  <si>
    <t>Phi s</t>
  </si>
  <si>
    <t>Fkr</t>
  </si>
  <si>
    <t>Ak</t>
  </si>
  <si>
    <t>Pk(в Па)</t>
  </si>
  <si>
    <t>Pk в атм</t>
  </si>
  <si>
    <t>в Мпа</t>
  </si>
  <si>
    <t>Скор гор</t>
  </si>
  <si>
    <t>Тяга, Н</t>
  </si>
  <si>
    <t>кН</t>
  </si>
  <si>
    <t>кГс</t>
  </si>
  <si>
    <r>
      <t xml:space="preserve">ГДФ </t>
    </r>
    <r>
      <rPr>
        <sz val="11"/>
        <color theme="1"/>
        <rFont val="Symbol"/>
        <family val="1"/>
        <charset val="2"/>
      </rPr>
      <t>l</t>
    </r>
  </si>
  <si>
    <r>
      <t>ГДФ f(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charset val="204"/>
        <scheme val="minor"/>
      </rPr>
      <t>)</t>
    </r>
  </si>
  <si>
    <r>
      <t>ГДФ q(</t>
    </r>
    <r>
      <rPr>
        <sz val="11"/>
        <color theme="1"/>
        <rFont val="Symbol"/>
        <family val="1"/>
        <charset val="2"/>
      </rPr>
      <t>l</t>
    </r>
    <r>
      <rPr>
        <sz val="9.9"/>
        <color theme="1"/>
        <rFont val="Calibri"/>
        <family val="2"/>
        <charset val="204"/>
      </rPr>
      <t>)</t>
    </r>
  </si>
  <si>
    <t>T=20</t>
  </si>
  <si>
    <t>T=50</t>
  </si>
  <si>
    <t>тяга двигателя</t>
  </si>
</sst>
</file>

<file path=xl/styles.xml><?xml version="1.0" encoding="utf-8"?>
<styleSheet xmlns="http://schemas.openxmlformats.org/spreadsheetml/2006/main">
  <numFmts count="1">
    <numFmt numFmtId="164" formatCode="0.000"/>
  </numFmts>
  <fonts count="8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9.9"/>
      <color theme="1"/>
      <name val="Calibri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8">
    <xf numFmtId="0" fontId="0" fillId="0" borderId="0" xfId="0"/>
    <xf numFmtId="0" fontId="0" fillId="3" borderId="0" xfId="0" applyFill="1"/>
    <xf numFmtId="0" fontId="0" fillId="0" borderId="0" xfId="0" applyFont="1"/>
    <xf numFmtId="0" fontId="0" fillId="0" borderId="0" xfId="0" applyFill="1"/>
    <xf numFmtId="0" fontId="0" fillId="0" borderId="0" xfId="0" applyFill="1" applyBorder="1"/>
    <xf numFmtId="0" fontId="0" fillId="4" borderId="0" xfId="0" applyFill="1"/>
    <xf numFmtId="0" fontId="2" fillId="5" borderId="0" xfId="0" applyFont="1" applyFill="1"/>
    <xf numFmtId="0" fontId="2" fillId="3" borderId="0" xfId="0" applyFont="1" applyFill="1"/>
    <xf numFmtId="0" fontId="0" fillId="0" borderId="0" xfId="0" applyBorder="1"/>
    <xf numFmtId="0" fontId="0" fillId="3" borderId="0" xfId="0" applyFill="1" applyBorder="1"/>
    <xf numFmtId="0" fontId="0" fillId="6" borderId="0" xfId="0" applyFill="1" applyBorder="1"/>
    <xf numFmtId="0" fontId="3" fillId="0" borderId="2" xfId="0" applyFont="1" applyBorder="1"/>
    <xf numFmtId="0" fontId="3" fillId="0" borderId="2" xfId="0" applyFont="1" applyFill="1" applyBorder="1"/>
    <xf numFmtId="0" fontId="0" fillId="0" borderId="4" xfId="0" applyBorder="1"/>
    <xf numFmtId="0" fontId="0" fillId="0" borderId="6" xfId="0" applyBorder="1"/>
    <xf numFmtId="0" fontId="0" fillId="3" borderId="7" xfId="0" applyFill="1" applyBorder="1"/>
    <xf numFmtId="0" fontId="0" fillId="6" borderId="7" xfId="0" applyFill="1" applyBorder="1"/>
    <xf numFmtId="0" fontId="3" fillId="0" borderId="3" xfId="0" applyFont="1" applyFill="1" applyBorder="1"/>
    <xf numFmtId="0" fontId="2" fillId="5" borderId="0" xfId="0" applyFont="1" applyFill="1" applyBorder="1"/>
    <xf numFmtId="0" fontId="3" fillId="0" borderId="1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0" fillId="0" borderId="9" xfId="0" applyFill="1" applyBorder="1"/>
    <xf numFmtId="0" fontId="0" fillId="0" borderId="9" xfId="0" applyBorder="1"/>
    <xf numFmtId="0" fontId="0" fillId="0" borderId="10" xfId="0" applyBorder="1"/>
    <xf numFmtId="164" fontId="0" fillId="3" borderId="0" xfId="0" applyNumberFormat="1" applyFill="1" applyBorder="1"/>
    <xf numFmtId="164" fontId="0" fillId="3" borderId="7" xfId="0" applyNumberFormat="1" applyFill="1" applyBorder="1"/>
    <xf numFmtId="2" fontId="0" fillId="3" borderId="0" xfId="0" applyNumberFormat="1" applyFill="1" applyBorder="1"/>
    <xf numFmtId="2" fontId="0" fillId="3" borderId="7" xfId="0" applyNumberFormat="1" applyFill="1" applyBorder="1"/>
    <xf numFmtId="2" fontId="0" fillId="3" borderId="5" xfId="0" applyNumberFormat="1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1" xfId="0" applyFill="1" applyBorder="1"/>
    <xf numFmtId="0" fontId="0" fillId="6" borderId="2" xfId="0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3" fillId="0" borderId="12" xfId="0" applyFont="1" applyBorder="1"/>
    <xf numFmtId="0" fontId="3" fillId="0" borderId="13" xfId="0" applyFont="1" applyFill="1" applyBorder="1"/>
    <xf numFmtId="0" fontId="0" fillId="3" borderId="1" xfId="0" applyFill="1" applyBorder="1"/>
    <xf numFmtId="2" fontId="0" fillId="3" borderId="2" xfId="0" applyNumberFormat="1" applyFill="1" applyBorder="1"/>
    <xf numFmtId="164" fontId="0" fillId="3" borderId="2" xfId="0" applyNumberFormat="1" applyFill="1" applyBorder="1"/>
    <xf numFmtId="0" fontId="0" fillId="3" borderId="3" xfId="0" applyFill="1" applyBorder="1"/>
    <xf numFmtId="2" fontId="0" fillId="7" borderId="2" xfId="0" applyNumberFormat="1" applyFill="1" applyBorder="1"/>
    <xf numFmtId="164" fontId="0" fillId="7" borderId="2" xfId="0" applyNumberFormat="1" applyFill="1" applyBorder="1"/>
    <xf numFmtId="0" fontId="0" fillId="7" borderId="3" xfId="0" applyFill="1" applyBorder="1"/>
    <xf numFmtId="2" fontId="0" fillId="7" borderId="0" xfId="0" applyNumberFormat="1" applyFill="1" applyBorder="1"/>
    <xf numFmtId="164" fontId="0" fillId="7" borderId="0" xfId="0" applyNumberFormat="1" applyFill="1" applyBorder="1"/>
    <xf numFmtId="2" fontId="0" fillId="7" borderId="5" xfId="0" applyNumberFormat="1" applyFill="1" applyBorder="1"/>
    <xf numFmtId="2" fontId="0" fillId="7" borderId="7" xfId="0" applyNumberFormat="1" applyFill="1" applyBorder="1"/>
    <xf numFmtId="164" fontId="0" fillId="7" borderId="7" xfId="0" applyNumberFormat="1" applyFill="1" applyBorder="1"/>
    <xf numFmtId="0" fontId="0" fillId="7" borderId="0" xfId="0" applyFill="1" applyBorder="1"/>
    <xf numFmtId="0" fontId="0" fillId="7" borderId="7" xfId="0" applyFill="1" applyBorder="1"/>
    <xf numFmtId="2" fontId="0" fillId="6" borderId="0" xfId="0" applyNumberFormat="1" applyFill="1" applyBorder="1"/>
    <xf numFmtId="2" fontId="0" fillId="6" borderId="7" xfId="0" applyNumberFormat="1" applyFill="1" applyBorder="1"/>
    <xf numFmtId="164" fontId="0" fillId="6" borderId="2" xfId="0" applyNumberFormat="1" applyFill="1" applyBorder="1"/>
    <xf numFmtId="164" fontId="0" fillId="6" borderId="0" xfId="0" applyNumberFormat="1" applyFill="1" applyBorder="1"/>
    <xf numFmtId="164" fontId="0" fillId="6" borderId="7" xfId="0" applyNumberFormat="1" applyFill="1" applyBorder="1"/>
    <xf numFmtId="164" fontId="0" fillId="0" borderId="0" xfId="0" applyNumberFormat="1"/>
    <xf numFmtId="2" fontId="0" fillId="0" borderId="0" xfId="0" applyNumberFormat="1"/>
    <xf numFmtId="0" fontId="0" fillId="3" borderId="2" xfId="0" applyFill="1" applyBorder="1"/>
    <xf numFmtId="0" fontId="0" fillId="0" borderId="5" xfId="0" applyBorder="1"/>
    <xf numFmtId="0" fontId="0" fillId="0" borderId="7" xfId="0" applyBorder="1"/>
    <xf numFmtId="0" fontId="0" fillId="0" borderId="15" xfId="0" applyBorder="1"/>
    <xf numFmtId="0" fontId="0" fillId="0" borderId="8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2" borderId="0" xfId="0" applyFill="1" applyBorder="1"/>
    <xf numFmtId="0" fontId="0" fillId="0" borderId="8" xfId="0" applyFill="1" applyBorder="1"/>
    <xf numFmtId="0" fontId="0" fillId="0" borderId="14" xfId="0" applyFill="1" applyBorder="1"/>
    <xf numFmtId="0" fontId="0" fillId="8" borderId="0" xfId="0" applyFill="1" applyBorder="1"/>
    <xf numFmtId="0" fontId="0" fillId="8" borderId="2" xfId="0" applyFill="1" applyBorder="1"/>
    <xf numFmtId="164" fontId="0" fillId="8" borderId="2" xfId="0" applyNumberFormat="1" applyFill="1" applyBorder="1"/>
    <xf numFmtId="164" fontId="0" fillId="8" borderId="0" xfId="0" applyNumberFormat="1" applyFill="1" applyBorder="1"/>
    <xf numFmtId="0" fontId="0" fillId="8" borderId="7" xfId="0" applyFill="1" applyBorder="1"/>
    <xf numFmtId="164" fontId="0" fillId="8" borderId="7" xfId="0" applyNumberFormat="1" applyFill="1" applyBorder="1"/>
    <xf numFmtId="0" fontId="0" fillId="9" borderId="1" xfId="0" applyFill="1" applyBorder="1"/>
    <xf numFmtId="0" fontId="0" fillId="9" borderId="2" xfId="0" applyFill="1" applyBorder="1"/>
    <xf numFmtId="164" fontId="0" fillId="9" borderId="2" xfId="0" applyNumberFormat="1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0" xfId="0" applyFill="1" applyBorder="1"/>
    <xf numFmtId="164" fontId="0" fillId="9" borderId="0" xfId="0" applyNumberFormat="1" applyFill="1" applyBorder="1"/>
    <xf numFmtId="2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164" fontId="0" fillId="9" borderId="7" xfId="0" applyNumberFormat="1" applyFill="1" applyBorder="1"/>
    <xf numFmtId="2" fontId="0" fillId="9" borderId="15" xfId="0" applyNumberFormat="1" applyFill="1" applyBorder="1"/>
    <xf numFmtId="0" fontId="0" fillId="10" borderId="1" xfId="0" applyFill="1" applyBorder="1"/>
    <xf numFmtId="0" fontId="0" fillId="10" borderId="2" xfId="0" applyFill="1" applyBorder="1"/>
    <xf numFmtId="164" fontId="0" fillId="10" borderId="2" xfId="0" applyNumberFormat="1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0" xfId="0" applyFill="1" applyBorder="1"/>
    <xf numFmtId="164" fontId="0" fillId="10" borderId="0" xfId="0" applyNumberFormat="1" applyFill="1" applyBorder="1"/>
    <xf numFmtId="2" fontId="0" fillId="10" borderId="5" xfId="0" applyNumberFormat="1" applyFill="1" applyBorder="1"/>
    <xf numFmtId="0" fontId="0" fillId="10" borderId="6" xfId="0" applyFill="1" applyBorder="1"/>
    <xf numFmtId="0" fontId="0" fillId="10" borderId="7" xfId="0" applyFill="1" applyBorder="1"/>
    <xf numFmtId="164" fontId="0" fillId="10" borderId="7" xfId="0" applyNumberFormat="1" applyFill="1" applyBorder="1"/>
    <xf numFmtId="2" fontId="0" fillId="10" borderId="15" xfId="0" applyNumberFormat="1" applyFill="1" applyBorder="1"/>
    <xf numFmtId="0" fontId="0" fillId="8" borderId="1" xfId="0" applyFill="1" applyBorder="1"/>
    <xf numFmtId="0" fontId="0" fillId="8" borderId="3" xfId="0" applyFill="1" applyBorder="1"/>
    <xf numFmtId="0" fontId="0" fillId="8" borderId="4" xfId="0" applyFill="1" applyBorder="1"/>
    <xf numFmtId="2" fontId="0" fillId="8" borderId="5" xfId="0" applyNumberFormat="1" applyFill="1" applyBorder="1"/>
    <xf numFmtId="0" fontId="0" fillId="8" borderId="6" xfId="0" applyFill="1" applyBorder="1"/>
    <xf numFmtId="2" fontId="0" fillId="8" borderId="15" xfId="0" applyNumberForma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12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7" borderId="0" xfId="0" applyFont="1" applyFill="1"/>
    <xf numFmtId="0" fontId="0" fillId="5" borderId="0" xfId="0" applyFill="1"/>
    <xf numFmtId="0" fontId="3" fillId="0" borderId="0" xfId="0" applyFont="1" applyFill="1" applyAlignment="1">
      <alignment vertical="center"/>
    </xf>
    <xf numFmtId="0" fontId="0" fillId="18" borderId="0" xfId="0" applyFill="1"/>
    <xf numFmtId="0" fontId="0" fillId="19" borderId="11" xfId="0" applyFill="1" applyBorder="1"/>
    <xf numFmtId="0" fontId="0" fillId="19" borderId="1" xfId="0" applyFill="1" applyBorder="1"/>
    <xf numFmtId="0" fontId="0" fillId="19" borderId="4" xfId="0" applyFill="1" applyBorder="1"/>
    <xf numFmtId="0" fontId="0" fillId="19" borderId="5" xfId="0" applyFill="1" applyBorder="1"/>
    <xf numFmtId="0" fontId="0" fillId="19" borderId="6" xfId="0" applyFill="1" applyBorder="1"/>
    <xf numFmtId="0" fontId="0" fillId="19" borderId="15" xfId="0" applyFill="1" applyBorder="1"/>
    <xf numFmtId="0" fontId="5" fillId="18" borderId="11" xfId="0" applyFont="1" applyFill="1" applyBorder="1"/>
    <xf numFmtId="0" fontId="5" fillId="18" borderId="13" xfId="0" applyFont="1" applyFill="1" applyBorder="1"/>
    <xf numFmtId="0" fontId="0" fillId="0" borderId="14" xfId="0" applyBorder="1"/>
    <xf numFmtId="0" fontId="0" fillId="19" borderId="12" xfId="0" applyFill="1" applyBorder="1"/>
    <xf numFmtId="0" fontId="0" fillId="19" borderId="2" xfId="0" applyFill="1" applyBorder="1"/>
    <xf numFmtId="0" fontId="0" fillId="19" borderId="0" xfId="0" applyFill="1" applyBorder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0" xfId="0" applyFont="1" applyBorder="1" applyAlignment="1"/>
    <xf numFmtId="0" fontId="0" fillId="0" borderId="1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15" xfId="0" applyFill="1" applyBorder="1"/>
    <xf numFmtId="0" fontId="0" fillId="0" borderId="25" xfId="0" applyBorder="1"/>
    <xf numFmtId="0" fontId="0" fillId="0" borderId="2" xfId="0" applyFill="1" applyBorder="1"/>
    <xf numFmtId="0" fontId="0" fillId="0" borderId="7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21" borderId="0" xfId="0" applyFill="1"/>
    <xf numFmtId="0" fontId="0" fillId="21" borderId="0" xfId="0" applyFill="1" applyBorder="1"/>
    <xf numFmtId="0" fontId="0" fillId="21" borderId="6" xfId="0" applyFill="1" applyBorder="1"/>
    <xf numFmtId="0" fontId="0" fillId="21" borderId="7" xfId="0" applyFill="1" applyBorder="1"/>
    <xf numFmtId="0" fontId="0" fillId="21" borderId="15" xfId="0" applyFill="1" applyBorder="1"/>
    <xf numFmtId="0" fontId="0" fillId="21" borderId="4" xfId="0" applyFill="1" applyBorder="1"/>
    <xf numFmtId="0" fontId="0" fillId="21" borderId="5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0" fillId="0" borderId="4" xfId="0" applyFon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6" xfId="0" applyFont="1" applyBorder="1"/>
    <xf numFmtId="164" fontId="0" fillId="0" borderId="7" xfId="0" applyNumberFormat="1" applyBorder="1"/>
    <xf numFmtId="164" fontId="0" fillId="0" borderId="15" xfId="0" applyNumberFormat="1" applyBorder="1"/>
    <xf numFmtId="0" fontId="0" fillId="0" borderId="11" xfId="0" applyBorder="1"/>
    <xf numFmtId="2" fontId="0" fillId="9" borderId="0" xfId="0" applyNumberFormat="1" applyFill="1" applyBorder="1"/>
    <xf numFmtId="2" fontId="0" fillId="9" borderId="7" xfId="0" applyNumberFormat="1" applyFill="1" applyBorder="1"/>
    <xf numFmtId="0" fontId="0" fillId="0" borderId="13" xfId="0" applyBorder="1"/>
    <xf numFmtId="0" fontId="0" fillId="5" borderId="1" xfId="0" applyFill="1" applyBorder="1"/>
    <xf numFmtId="0" fontId="0" fillId="5" borderId="3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15" xfId="0" applyFill="1" applyBorder="1"/>
    <xf numFmtId="0" fontId="0" fillId="5" borderId="7" xfId="0" applyFill="1" applyBorder="1"/>
    <xf numFmtId="0" fontId="0" fillId="5" borderId="4" xfId="0" applyFill="1" applyBorder="1"/>
    <xf numFmtId="0" fontId="0" fillId="5" borderId="5" xfId="0" applyFill="1" applyBorder="1"/>
    <xf numFmtId="0" fontId="0" fillId="20" borderId="14" xfId="0" applyFill="1" applyBorder="1"/>
    <xf numFmtId="0" fontId="0" fillId="20" borderId="1" xfId="0" applyFill="1" applyBorder="1"/>
    <xf numFmtId="0" fontId="0" fillId="20" borderId="2" xfId="0" applyFill="1" applyBorder="1"/>
    <xf numFmtId="0" fontId="0" fillId="20" borderId="4" xfId="0" applyFill="1" applyBorder="1"/>
    <xf numFmtId="0" fontId="0" fillId="20" borderId="0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3" borderId="2" xfId="0" applyFill="1" applyBorder="1"/>
    <xf numFmtId="0" fontId="0" fillId="23" borderId="0" xfId="0" applyFill="1" applyBorder="1"/>
    <xf numFmtId="0" fontId="0" fillId="23" borderId="7" xfId="0" applyFill="1" applyBorder="1"/>
    <xf numFmtId="0" fontId="0" fillId="23" borderId="3" xfId="0" applyFill="1" applyBorder="1"/>
    <xf numFmtId="0" fontId="0" fillId="23" borderId="5" xfId="0" applyFill="1" applyBorder="1"/>
    <xf numFmtId="0" fontId="0" fillId="23" borderId="15" xfId="0" applyFill="1" applyBorder="1"/>
    <xf numFmtId="0" fontId="0" fillId="23" borderId="0" xfId="0" applyFill="1"/>
    <xf numFmtId="0" fontId="0" fillId="23" borderId="8" xfId="0" applyFill="1" applyBorder="1"/>
    <xf numFmtId="0" fontId="0" fillId="20" borderId="8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3" fillId="13" borderId="0" xfId="0" applyFont="1" applyFill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0" fillId="24" borderId="11" xfId="0" applyFill="1" applyBorder="1" applyAlignment="1">
      <alignment horizontal="center"/>
    </xf>
    <xf numFmtId="0" fontId="0" fillId="24" borderId="12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2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Тяга РДТТ в</a:t>
            </a:r>
            <a:r>
              <a:rPr lang="ru-RU" baseline="0"/>
              <a:t> кН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Заряд 1 - канальный</c:v>
          </c:tx>
          <c:marker>
            <c:symbol val="none"/>
          </c:marker>
          <c:cat>
            <c:numRef>
              <c:f>ВБП!$B$36:$B$59</c:f>
              <c:numCache>
                <c:formatCode>General</c:formatCode>
                <c:ptCount val="2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</c:numCache>
            </c:numRef>
          </c:cat>
          <c:val>
            <c:numRef>
              <c:f>ВБП!$G$3:$G$26</c:f>
              <c:numCache>
                <c:formatCode>General</c:formatCode>
                <c:ptCount val="24"/>
                <c:pt idx="0">
                  <c:v>0</c:v>
                </c:pt>
                <c:pt idx="1">
                  <c:v>3.8456122727893867</c:v>
                </c:pt>
                <c:pt idx="2">
                  <c:v>4.5121872258079678</c:v>
                </c:pt>
                <c:pt idx="3">
                  <c:v>5.2099847153333707</c:v>
                </c:pt>
                <c:pt idx="4">
                  <c:v>5.9098468233165766</c:v>
                </c:pt>
                <c:pt idx="5">
                  <c:v>6.6219555048099412</c:v>
                </c:pt>
                <c:pt idx="6">
                  <c:v>7.3464914684849285</c:v>
                </c:pt>
                <c:pt idx="7">
                  <c:v>8.08180947776059</c:v>
                </c:pt>
                <c:pt idx="8">
                  <c:v>8.8268772875685961</c:v>
                </c:pt>
                <c:pt idx="9">
                  <c:v>9.5825258913370632</c:v>
                </c:pt>
                <c:pt idx="10">
                  <c:v>10.348556703371059</c:v>
                </c:pt>
                <c:pt idx="11">
                  <c:v>11.116244690333142</c:v>
                </c:pt>
                <c:pt idx="12">
                  <c:v>11.867075689693799</c:v>
                </c:pt>
                <c:pt idx="13">
                  <c:v>12.601714012727069</c:v>
                </c:pt>
                <c:pt idx="14">
                  <c:v>13.287385810502585</c:v>
                </c:pt>
                <c:pt idx="15">
                  <c:v>13.839309814440719</c:v>
                </c:pt>
                <c:pt idx="16">
                  <c:v>14.393059350359508</c:v>
                </c:pt>
                <c:pt idx="17">
                  <c:v>14.983204679643629</c:v>
                </c:pt>
                <c:pt idx="18">
                  <c:v>15.588259136245929</c:v>
                </c:pt>
                <c:pt idx="19">
                  <c:v>15.057961951249938</c:v>
                </c:pt>
                <c:pt idx="20">
                  <c:v>15.57452401020414</c:v>
                </c:pt>
                <c:pt idx="21">
                  <c:v>16.115405324463357</c:v>
                </c:pt>
                <c:pt idx="22">
                  <c:v>10.394269603595577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v>Заряд 2 - канальный с компенсатором</c:v>
          </c:tx>
          <c:marker>
            <c:symbol val="none"/>
          </c:marker>
          <c:val>
            <c:numRef>
              <c:f>ВБП!$G$36:$G$59</c:f>
              <c:numCache>
                <c:formatCode>General</c:formatCode>
                <c:ptCount val="24"/>
                <c:pt idx="0">
                  <c:v>0</c:v>
                </c:pt>
                <c:pt idx="1">
                  <c:v>3.883057638038566</c:v>
                </c:pt>
                <c:pt idx="2">
                  <c:v>4.5591768384343894</c:v>
                </c:pt>
                <c:pt idx="3">
                  <c:v>5.2488965902013209</c:v>
                </c:pt>
                <c:pt idx="4">
                  <c:v>5.949719245666123</c:v>
                </c:pt>
                <c:pt idx="5">
                  <c:v>6.6640343091812655</c:v>
                </c:pt>
                <c:pt idx="6">
                  <c:v>7.3903365573412829</c:v>
                </c:pt>
                <c:pt idx="7">
                  <c:v>8.1274542158791458</c:v>
                </c:pt>
                <c:pt idx="8">
                  <c:v>8.874359123389473</c:v>
                </c:pt>
                <c:pt idx="9">
                  <c:v>9.6318357686589184</c:v>
                </c:pt>
                <c:pt idx="10">
                  <c:v>10.399701758918184</c:v>
                </c:pt>
                <c:pt idx="11">
                  <c:v>11.169211963282033</c:v>
                </c:pt>
                <c:pt idx="12">
                  <c:v>11.921832215717881</c:v>
                </c:pt>
                <c:pt idx="13">
                  <c:v>12.658221698118343</c:v>
                </c:pt>
                <c:pt idx="14">
                  <c:v>13.349740872426048</c:v>
                </c:pt>
                <c:pt idx="15">
                  <c:v>13.897437697513372</c:v>
                </c:pt>
                <c:pt idx="16">
                  <c:v>14.447759103676676</c:v>
                </c:pt>
                <c:pt idx="17">
                  <c:v>14.530115857057819</c:v>
                </c:pt>
                <c:pt idx="18">
                  <c:v>14.905947135657993</c:v>
                </c:pt>
                <c:pt idx="19">
                  <c:v>15.057961951249938</c:v>
                </c:pt>
                <c:pt idx="20">
                  <c:v>15.57452401020414</c:v>
                </c:pt>
                <c:pt idx="21">
                  <c:v>16.115405324463357</c:v>
                </c:pt>
                <c:pt idx="22">
                  <c:v>10.394277034410162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v>Заряд 3 - комбинированный</c:v>
          </c:tx>
          <c:marker>
            <c:symbol val="none"/>
          </c:marker>
          <c:val>
            <c:numRef>
              <c:f>ВБП!$G$65:$G$87</c:f>
              <c:numCache>
                <c:formatCode>General</c:formatCode>
                <c:ptCount val="23"/>
                <c:pt idx="0">
                  <c:v>0</c:v>
                </c:pt>
                <c:pt idx="1">
                  <c:v>6.504830112789894</c:v>
                </c:pt>
                <c:pt idx="2">
                  <c:v>6.9655936537016094</c:v>
                </c:pt>
                <c:pt idx="3">
                  <c:v>7.9094137004733813</c:v>
                </c:pt>
                <c:pt idx="4">
                  <c:v>8.6038007304163138</c:v>
                </c:pt>
                <c:pt idx="5">
                  <c:v>9.2095751974502331</c:v>
                </c:pt>
                <c:pt idx="6">
                  <c:v>9.9066677094057365</c:v>
                </c:pt>
                <c:pt idx="7">
                  <c:v>10.624313569014001</c:v>
                </c:pt>
                <c:pt idx="8">
                  <c:v>11.298374051481797</c:v>
                </c:pt>
                <c:pt idx="9">
                  <c:v>11.925684720932388</c:v>
                </c:pt>
                <c:pt idx="10">
                  <c:v>12.512469273629522</c:v>
                </c:pt>
                <c:pt idx="11">
                  <c:v>13.157305914426592</c:v>
                </c:pt>
                <c:pt idx="12">
                  <c:v>13.824244999151468</c:v>
                </c:pt>
                <c:pt idx="13">
                  <c:v>14.504054313600117</c:v>
                </c:pt>
                <c:pt idx="14">
                  <c:v>14.27417521793585</c:v>
                </c:pt>
                <c:pt idx="15">
                  <c:v>14.689657564686268</c:v>
                </c:pt>
                <c:pt idx="16">
                  <c:v>14.202020287728519</c:v>
                </c:pt>
                <c:pt idx="17">
                  <c:v>14.517794325757158</c:v>
                </c:pt>
                <c:pt idx="18">
                  <c:v>14.818195706577155</c:v>
                </c:pt>
                <c:pt idx="19">
                  <c:v>12.597105939559725</c:v>
                </c:pt>
                <c:pt idx="20">
                  <c:v>5.2673962783660873</c:v>
                </c:pt>
                <c:pt idx="21">
                  <c:v>0.56965282698069797</c:v>
                </c:pt>
                <c:pt idx="22">
                  <c:v>0</c:v>
                </c:pt>
              </c:numCache>
            </c:numRef>
          </c:val>
        </c:ser>
        <c:marker val="1"/>
        <c:axId val="72931200"/>
        <c:axId val="72932736"/>
      </c:lineChart>
      <c:catAx>
        <c:axId val="72931200"/>
        <c:scaling>
          <c:orientation val="minMax"/>
        </c:scaling>
        <c:axPos val="b"/>
        <c:numFmt formatCode="General" sourceLinked="1"/>
        <c:majorTickMark val="none"/>
        <c:tickLblPos val="nextTo"/>
        <c:crossAx val="72932736"/>
        <c:crosses val="autoZero"/>
        <c:auto val="1"/>
        <c:lblAlgn val="ctr"/>
        <c:lblOffset val="100"/>
      </c:catAx>
      <c:valAx>
        <c:axId val="729327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Тяга </a:t>
                </a:r>
                <a:r>
                  <a:rPr lang="en-US"/>
                  <a:t>R,</a:t>
                </a:r>
                <a:r>
                  <a:rPr lang="en-US" baseline="0"/>
                  <a:t> </a:t>
                </a:r>
                <a:r>
                  <a:rPr lang="ru-RU" baseline="0"/>
                  <a:t>кН</a:t>
                </a:r>
                <a:endParaRPr lang="ru-RU"/>
              </a:p>
            </c:rich>
          </c:tx>
        </c:title>
        <c:numFmt formatCode="General" sourceLinked="1"/>
        <c:majorTickMark val="none"/>
        <c:tickLblPos val="nextTo"/>
        <c:crossAx val="72931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R</a:t>
            </a:r>
            <a:r>
              <a:rPr lang="ru-RU" baseline="0"/>
              <a:t>(</a:t>
            </a:r>
            <a:r>
              <a:rPr lang="en-US" baseline="0"/>
              <a:t>t)</a:t>
            </a:r>
            <a:r>
              <a:rPr lang="ru-RU" baseline="0"/>
              <a:t> в кГс</a:t>
            </a:r>
          </a:p>
        </c:rich>
      </c:tx>
    </c:title>
    <c:plotArea>
      <c:layout/>
      <c:scatterChart>
        <c:scatterStyle val="lineMarker"/>
        <c:ser>
          <c:idx val="1"/>
          <c:order val="0"/>
          <c:tx>
            <c:v>T=20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'Заряд 3 - var T'!$R$57:$R$79</c:f>
              <c:numCache>
                <c:formatCode>0.000</c:formatCode>
                <c:ptCount val="23"/>
                <c:pt idx="0">
                  <c:v>0</c:v>
                </c:pt>
                <c:pt idx="1">
                  <c:v>2.4509803921568627E-2</c:v>
                </c:pt>
                <c:pt idx="2">
                  <c:v>4.7268773697189646E-2</c:v>
                </c:pt>
                <c:pt idx="3">
                  <c:v>6.9239520500135543E-2</c:v>
                </c:pt>
                <c:pt idx="4">
                  <c:v>8.9809728831925562E-2</c:v>
                </c:pt>
                <c:pt idx="5">
                  <c:v>0.10949646194499359</c:v>
                </c:pt>
                <c:pt idx="6">
                  <c:v>0.12849384030880698</c:v>
                </c:pt>
                <c:pt idx="7">
                  <c:v>0.14677622738776741</c:v>
                </c:pt>
                <c:pt idx="8">
                  <c:v>0.16439632566746032</c:v>
                </c:pt>
                <c:pt idx="9">
                  <c:v>0.18145211870706535</c:v>
                </c:pt>
                <c:pt idx="10">
                  <c:v>0.19802597195683241</c:v>
                </c:pt>
                <c:pt idx="11">
                  <c:v>0.21418203361980076</c:v>
                </c:pt>
                <c:pt idx="12">
                  <c:v>0.2299114653137514</c:v>
                </c:pt>
                <c:pt idx="13">
                  <c:v>0.24523135957626926</c:v>
                </c:pt>
                <c:pt idx="14">
                  <c:v>0.26016321478055526</c:v>
                </c:pt>
                <c:pt idx="15">
                  <c:v>0.27522317920729844</c:v>
                </c:pt>
                <c:pt idx="16">
                  <c:v>0.29005380349189025</c:v>
                </c:pt>
                <c:pt idx="17">
                  <c:v>0.30515461947285966</c:v>
                </c:pt>
                <c:pt idx="18">
                  <c:v>0.32007891410564804</c:v>
                </c:pt>
                <c:pt idx="19">
                  <c:v>0.33484055069044583</c:v>
                </c:pt>
                <c:pt idx="20">
                  <c:v>0.35093876069718799</c:v>
                </c:pt>
                <c:pt idx="21">
                  <c:v>0.37628186384002599</c:v>
                </c:pt>
                <c:pt idx="22">
                  <c:v>0.44064761667114322</c:v>
                </c:pt>
              </c:numCache>
            </c:numRef>
          </c:xVal>
          <c:yVal>
            <c:numRef>
              <c:f>'Заряд 3 - var T'!$P$57:$P$79</c:f>
              <c:numCache>
                <c:formatCode>0.00</c:formatCode>
                <c:ptCount val="23"/>
                <c:pt idx="0">
                  <c:v>0</c:v>
                </c:pt>
                <c:pt idx="1">
                  <c:v>10649.297456212509</c:v>
                </c:pt>
                <c:pt idx="2">
                  <c:v>11634.988166460849</c:v>
                </c:pt>
                <c:pt idx="3">
                  <c:v>13726.835597514309</c:v>
                </c:pt>
                <c:pt idx="4">
                  <c:v>15325.012557820166</c:v>
                </c:pt>
                <c:pt idx="5">
                  <c:v>16758.073562066584</c:v>
                </c:pt>
                <c:pt idx="6">
                  <c:v>18450.025751623896</c:v>
                </c:pt>
                <c:pt idx="7">
                  <c:v>20237.84509697204</c:v>
                </c:pt>
                <c:pt idx="8">
                  <c:v>21957.904095359932</c:v>
                </c:pt>
                <c:pt idx="9">
                  <c:v>23592.923492432154</c:v>
                </c:pt>
                <c:pt idx="10">
                  <c:v>25151.264200924379</c:v>
                </c:pt>
                <c:pt idx="11">
                  <c:v>26895.091608277868</c:v>
                </c:pt>
                <c:pt idx="12">
                  <c:v>28732.193972998026</c:v>
                </c:pt>
                <c:pt idx="13">
                  <c:v>30638.797165701228</c:v>
                </c:pt>
                <c:pt idx="14">
                  <c:v>29990.289127856504</c:v>
                </c:pt>
                <c:pt idx="15">
                  <c:v>31165.188233777997</c:v>
                </c:pt>
                <c:pt idx="16">
                  <c:v>29787.527538682592</c:v>
                </c:pt>
                <c:pt idx="17">
                  <c:v>30677.680223795753</c:v>
                </c:pt>
                <c:pt idx="18">
                  <c:v>31531.185944471028</c:v>
                </c:pt>
                <c:pt idx="19">
                  <c:v>25378.296761791265</c:v>
                </c:pt>
                <c:pt idx="20">
                  <c:v>8126.6280326447104</c:v>
                </c:pt>
                <c:pt idx="21">
                  <c:v>744.46173812567395</c:v>
                </c:pt>
                <c:pt idx="22">
                  <c:v>0</c:v>
                </c:pt>
              </c:numCache>
            </c:numRef>
          </c:yVal>
        </c:ser>
        <c:ser>
          <c:idx val="2"/>
          <c:order val="1"/>
          <c:tx>
            <c:v>T=50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'Заряд 3 - var T'!$Z$57:$Z$79</c:f>
              <c:numCache>
                <c:formatCode>0.000</c:formatCode>
                <c:ptCount val="23"/>
                <c:pt idx="0">
                  <c:v>0</c:v>
                </c:pt>
                <c:pt idx="1">
                  <c:v>2.4271844660194174E-2</c:v>
                </c:pt>
                <c:pt idx="2">
                  <c:v>4.6953577519012094E-2</c:v>
                </c:pt>
                <c:pt idx="3">
                  <c:v>6.8849762390567809E-2</c:v>
                </c:pt>
                <c:pt idx="4">
                  <c:v>8.9350161786135862E-2</c:v>
                </c:pt>
                <c:pt idx="5">
                  <c:v>0.10897008420510967</c:v>
                </c:pt>
                <c:pt idx="6">
                  <c:v>0.1279029913320161</c:v>
                </c:pt>
                <c:pt idx="7">
                  <c:v>0.14612333363374364</c:v>
                </c:pt>
                <c:pt idx="8">
                  <c:v>0.16368363473991299</c:v>
                </c:pt>
                <c:pt idx="9">
                  <c:v>0.18068154568375541</c:v>
                </c:pt>
                <c:pt idx="10">
                  <c:v>0.19719915239261226</c:v>
                </c:pt>
                <c:pt idx="11">
                  <c:v>0.21330038537032681</c:v>
                </c:pt>
                <c:pt idx="12">
                  <c:v>0.22897643622942054</c:v>
                </c:pt>
                <c:pt idx="13">
                  <c:v>0.244244339500683</c:v>
                </c:pt>
                <c:pt idx="14">
                  <c:v>0.25912552059847388</c:v>
                </c:pt>
                <c:pt idx="15">
                  <c:v>0.2741343761555734</c:v>
                </c:pt>
                <c:pt idx="16">
                  <c:v>0.28891466988015746</c:v>
                </c:pt>
                <c:pt idx="17">
                  <c:v>0.30396423835392072</c:v>
                </c:pt>
                <c:pt idx="18">
                  <c:v>0.3188378845384594</c:v>
                </c:pt>
                <c:pt idx="19">
                  <c:v>0.33354942468620324</c:v>
                </c:pt>
                <c:pt idx="20">
                  <c:v>0.34959300233835172</c:v>
                </c:pt>
                <c:pt idx="21">
                  <c:v>0.3748500988135649</c:v>
                </c:pt>
                <c:pt idx="22">
                  <c:v>0.43899741415188714</c:v>
                </c:pt>
              </c:numCache>
            </c:numRef>
          </c:xVal>
          <c:yVal>
            <c:numRef>
              <c:f>'Заряд 3 - var T'!$X$57:$X$79</c:f>
              <c:numCache>
                <c:formatCode>0.00</c:formatCode>
                <c:ptCount val="23"/>
                <c:pt idx="0">
                  <c:v>0</c:v>
                </c:pt>
                <c:pt idx="1">
                  <c:v>10740.623493015333</c:v>
                </c:pt>
                <c:pt idx="2">
                  <c:v>11734.726948627533</c:v>
                </c:pt>
                <c:pt idx="3">
                  <c:v>13844.428032550481</c:v>
                </c:pt>
                <c:pt idx="4">
                  <c:v>15456.245230786652</c:v>
                </c:pt>
                <c:pt idx="5">
                  <c:v>16901.537229191985</c:v>
                </c:pt>
                <c:pt idx="6">
                  <c:v>18607.930016383598</c:v>
                </c:pt>
                <c:pt idx="7">
                  <c:v>20411.008173398131</c:v>
                </c:pt>
                <c:pt idx="8">
                  <c:v>22145.747657473752</c:v>
                </c:pt>
                <c:pt idx="9">
                  <c:v>23794.721738007465</c:v>
                </c:pt>
                <c:pt idx="10">
                  <c:v>25366.362687066416</c:v>
                </c:pt>
                <c:pt idx="11">
                  <c:v>27125.07344046763</c:v>
                </c:pt>
                <c:pt idx="12">
                  <c:v>28977.855241182326</c:v>
                </c:pt>
                <c:pt idx="13">
                  <c:v>30900.731050643764</c:v>
                </c:pt>
                <c:pt idx="14">
                  <c:v>30246.688078836523</c:v>
                </c:pt>
                <c:pt idx="15">
                  <c:v>31431.614799813589</c:v>
                </c:pt>
                <c:pt idx="16">
                  <c:v>30042.195945180796</c:v>
                </c:pt>
                <c:pt idx="17">
                  <c:v>30939.94597071418</c:v>
                </c:pt>
                <c:pt idx="18">
                  <c:v>31800.736254610038</c:v>
                </c:pt>
                <c:pt idx="19">
                  <c:v>25595.332942084235</c:v>
                </c:pt>
                <c:pt idx="20">
                  <c:v>8196.4234054400076</c:v>
                </c:pt>
                <c:pt idx="21">
                  <c:v>751.25125662638436</c:v>
                </c:pt>
                <c:pt idx="22">
                  <c:v>0</c:v>
                </c:pt>
              </c:numCache>
            </c:numRef>
          </c:yVal>
        </c:ser>
        <c:ser>
          <c:idx val="0"/>
          <c:order val="2"/>
          <c:tx>
            <c:v>T= -40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'Заряд 3 - var T'!$J$57:$J$79</c:f>
              <c:numCache>
                <c:formatCode>0.000</c:formatCode>
                <c:ptCount val="23"/>
                <c:pt idx="0">
                  <c:v>0</c:v>
                </c:pt>
                <c:pt idx="1">
                  <c:v>2.4386258180703998E-2</c:v>
                </c:pt>
                <c:pt idx="2">
                  <c:v>4.7291085370850014E-2</c:v>
                </c:pt>
                <c:pt idx="3">
                  <c:v>6.940263803431837E-2</c:v>
                </c:pt>
                <c:pt idx="4">
                  <c:v>9.0104676472351999E-2</c:v>
                </c:pt>
                <c:pt idx="5">
                  <c:v>0.10991757768620072</c:v>
                </c:pt>
                <c:pt idx="6">
                  <c:v>0.12903670622228541</c:v>
                </c:pt>
                <c:pt idx="7">
                  <c:v>0.1474362612458836</c:v>
                </c:pt>
                <c:pt idx="8">
                  <c:v>0.16516928300164288</c:v>
                </c:pt>
                <c:pt idx="9">
                  <c:v>0.18233438300461033</c:v>
                </c:pt>
                <c:pt idx="10">
                  <c:v>0.19901445456775277</c:v>
                </c:pt>
                <c:pt idx="11">
                  <c:v>0.21527405700634933</c:v>
                </c:pt>
                <c:pt idx="12">
                  <c:v>0.23110429529486232</c:v>
                </c:pt>
                <c:pt idx="13">
                  <c:v>0.24652237151332798</c:v>
                </c:pt>
                <c:pt idx="14">
                  <c:v>0.26154992181346548</c:v>
                </c:pt>
                <c:pt idx="15">
                  <c:v>0.27670640236091976</c:v>
                </c:pt>
                <c:pt idx="16">
                  <c:v>0.29163207297385019</c:v>
                </c:pt>
                <c:pt idx="17">
                  <c:v>0.30682966688448499</c:v>
                </c:pt>
                <c:pt idx="18">
                  <c:v>0.32184960815902425</c:v>
                </c:pt>
                <c:pt idx="19">
                  <c:v>0.33670584894461159</c:v>
                </c:pt>
                <c:pt idx="20">
                  <c:v>0.35290722896797638</c:v>
                </c:pt>
                <c:pt idx="21">
                  <c:v>0.378412750688496</c:v>
                </c:pt>
                <c:pt idx="22">
                  <c:v>0.44319100999000538</c:v>
                </c:pt>
              </c:numCache>
            </c:numRef>
          </c:xVal>
          <c:yVal>
            <c:numRef>
              <c:f>'Заряд 3 - var T'!$H$57:$H$79</c:f>
              <c:numCache>
                <c:formatCode>General</c:formatCode>
                <c:ptCount val="23"/>
                <c:pt idx="0">
                  <c:v>0</c:v>
                </c:pt>
                <c:pt idx="1">
                  <c:v>10479.761393530012</c:v>
                </c:pt>
                <c:pt idx="2">
                  <c:v>11449.834829939804</c:v>
                </c:pt>
                <c:pt idx="3">
                  <c:v>13508.539051039506</c:v>
                </c:pt>
                <c:pt idx="4">
                  <c:v>15081.394511434688</c:v>
                </c:pt>
                <c:pt idx="5">
                  <c:v>16491.750111340752</c:v>
                </c:pt>
                <c:pt idx="6">
                  <c:v>18156.895027185001</c:v>
                </c:pt>
                <c:pt idx="7">
                  <c:v>19916.388180554404</c:v>
                </c:pt>
                <c:pt idx="8">
                  <c:v>21609.194581228916</c:v>
                </c:pt>
                <c:pt idx="9">
                  <c:v>23218.308747187548</c:v>
                </c:pt>
                <c:pt idx="10">
                  <c:v>24751.959120947755</c:v>
                </c:pt>
                <c:pt idx="11">
                  <c:v>26468.15734415183</c:v>
                </c:pt>
                <c:pt idx="12">
                  <c:v>28276.152677223035</c:v>
                </c:pt>
                <c:pt idx="13">
                  <c:v>30152.547667847812</c:v>
                </c:pt>
                <c:pt idx="14">
                  <c:v>29514.314584923868</c:v>
                </c:pt>
                <c:pt idx="15">
                  <c:v>30670.598601061938</c:v>
                </c:pt>
                <c:pt idx="16">
                  <c:v>29314.765548358137</c:v>
                </c:pt>
                <c:pt idx="17">
                  <c:v>30190.814663155586</c:v>
                </c:pt>
                <c:pt idx="18">
                  <c:v>31030.797447656289</c:v>
                </c:pt>
                <c:pt idx="19">
                  <c:v>24975.39458017164</c:v>
                </c:pt>
                <c:pt idx="20">
                  <c:v>7997.0611192931137</c:v>
                </c:pt>
                <c:pt idx="21">
                  <c:v>731.85779433901791</c:v>
                </c:pt>
                <c:pt idx="22">
                  <c:v>0</c:v>
                </c:pt>
              </c:numCache>
            </c:numRef>
          </c:yVal>
        </c:ser>
        <c:axId val="78180736"/>
        <c:axId val="78182272"/>
      </c:scatterChart>
      <c:valAx>
        <c:axId val="78180736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78182272"/>
        <c:crosses val="autoZero"/>
        <c:crossBetween val="midCat"/>
      </c:valAx>
      <c:valAx>
        <c:axId val="78182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Тяга, кГс</a:t>
                </a:r>
              </a:p>
            </c:rich>
          </c:tx>
        </c:title>
        <c:numFmt formatCode="0.00" sourceLinked="1"/>
        <c:majorTickMark val="none"/>
        <c:tickLblPos val="nextTo"/>
        <c:crossAx val="7818073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R</a:t>
            </a:r>
            <a:r>
              <a:rPr lang="ru-RU" baseline="0"/>
              <a:t>(</a:t>
            </a:r>
            <a:r>
              <a:rPr lang="en-US" baseline="0"/>
              <a:t>t)</a:t>
            </a:r>
            <a:r>
              <a:rPr lang="ru-RU" baseline="0"/>
              <a:t> в кГс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T= -40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'Заряд 3 - var T'!$J$109:$J$131</c:f>
              <c:numCache>
                <c:formatCode>0.000</c:formatCode>
                <c:ptCount val="23"/>
                <c:pt idx="0">
                  <c:v>0</c:v>
                </c:pt>
                <c:pt idx="1">
                  <c:v>0.16891891891891891</c:v>
                </c:pt>
                <c:pt idx="2">
                  <c:v>0.3351929702833033</c:v>
                </c:pt>
                <c:pt idx="3">
                  <c:v>0.49638332596893692</c:v>
                </c:pt>
                <c:pt idx="4">
                  <c:v>0.64848654879419199</c:v>
                </c:pt>
                <c:pt idx="5">
                  <c:v>0.7948198017282726</c:v>
                </c:pt>
                <c:pt idx="6">
                  <c:v>0.93662948942129454</c:v>
                </c:pt>
                <c:pt idx="7">
                  <c:v>1.0737266793269225</c:v>
                </c:pt>
                <c:pt idx="8">
                  <c:v>1.2064391294532322</c:v>
                </c:pt>
                <c:pt idx="9">
                  <c:v>1.3354000617289519</c:v>
                </c:pt>
                <c:pt idx="10">
                  <c:v>1.4611453414868447</c:v>
                </c:pt>
                <c:pt idx="11">
                  <c:v>1.584093974037905</c:v>
                </c:pt>
                <c:pt idx="12">
                  <c:v>1.7041778949948705</c:v>
                </c:pt>
                <c:pt idx="13">
                  <c:v>1.8215031632812291</c:v>
                </c:pt>
                <c:pt idx="14">
                  <c:v>1.936206482742832</c:v>
                </c:pt>
                <c:pt idx="15">
                  <c:v>2.0517763128565552</c:v>
                </c:pt>
                <c:pt idx="16">
                  <c:v>2.165794296392217</c:v>
                </c:pt>
                <c:pt idx="17">
                  <c:v>2.2816402551683073</c:v>
                </c:pt>
                <c:pt idx="18">
                  <c:v>2.3962924085238848</c:v>
                </c:pt>
                <c:pt idx="19">
                  <c:v>2.5098430246069974</c:v>
                </c:pt>
                <c:pt idx="20">
                  <c:v>2.632403730958238</c:v>
                </c:pt>
                <c:pt idx="21">
                  <c:v>2.8152016682386751</c:v>
                </c:pt>
                <c:pt idx="22">
                  <c:v>3.2307068694083858</c:v>
                </c:pt>
              </c:numCache>
            </c:numRef>
          </c:xVal>
          <c:yVal>
            <c:numRef>
              <c:f>'Заряд 3 - var T'!$H$109:$H$131</c:f>
              <c:numCache>
                <c:formatCode>General</c:formatCode>
                <c:ptCount val="23"/>
                <c:pt idx="0">
                  <c:v>0</c:v>
                </c:pt>
                <c:pt idx="1">
                  <c:v>1438.5730269107103</c:v>
                </c:pt>
                <c:pt idx="2">
                  <c:v>1568.9807953873674</c:v>
                </c:pt>
                <c:pt idx="3">
                  <c:v>1844.0527699174625</c:v>
                </c:pt>
                <c:pt idx="4">
                  <c:v>2052.8520396316808</c:v>
                </c:pt>
                <c:pt idx="5">
                  <c:v>2239.1977668628633</c:v>
                </c:pt>
                <c:pt idx="6">
                  <c:v>2458.2398657663498</c:v>
                </c:pt>
                <c:pt idx="7">
                  <c:v>2688.6591060886703</c:v>
                </c:pt>
                <c:pt idx="8">
                  <c:v>2909.4322941855594</c:v>
                </c:pt>
                <c:pt idx="9">
                  <c:v>3118.5284099539726</c:v>
                </c:pt>
                <c:pt idx="10">
                  <c:v>3317.1773625780056</c:v>
                </c:pt>
                <c:pt idx="11">
                  <c:v>3538.7799736609004</c:v>
                </c:pt>
                <c:pt idx="12">
                  <c:v>3771.4986023780793</c:v>
                </c:pt>
                <c:pt idx="13">
                  <c:v>4012.2746670451302</c:v>
                </c:pt>
                <c:pt idx="14">
                  <c:v>3930.4598164139588</c:v>
                </c:pt>
                <c:pt idx="15">
                  <c:v>4078.6228255689857</c:v>
                </c:pt>
                <c:pt idx="16">
                  <c:v>3904.8625241605278</c:v>
                </c:pt>
                <c:pt idx="17">
                  <c:v>4017.177465279949</c:v>
                </c:pt>
                <c:pt idx="18">
                  <c:v>4124.7230038060143</c:v>
                </c:pt>
                <c:pt idx="19">
                  <c:v>3346.0685903079411</c:v>
                </c:pt>
                <c:pt idx="20">
                  <c:v>1102.0567356553129</c:v>
                </c:pt>
                <c:pt idx="21">
                  <c:v>74.292487918115384</c:v>
                </c:pt>
                <c:pt idx="22">
                  <c:v>0</c:v>
                </c:pt>
              </c:numCache>
            </c:numRef>
          </c:yVal>
        </c:ser>
        <c:ser>
          <c:idx val="1"/>
          <c:order val="1"/>
          <c:tx>
            <c:v>T = 20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'Заряд 3 - var T'!$R$109:$R$131</c:f>
              <c:numCache>
                <c:formatCode>0.000</c:formatCode>
                <c:ptCount val="23"/>
                <c:pt idx="0">
                  <c:v>0</c:v>
                </c:pt>
                <c:pt idx="1">
                  <c:v>0.15625</c:v>
                </c:pt>
                <c:pt idx="2">
                  <c:v>0.30612320496434114</c:v>
                </c:pt>
                <c:pt idx="3">
                  <c:v>0.45252686758066246</c:v>
                </c:pt>
                <c:pt idx="4">
                  <c:v>0.59266073474973313</c:v>
                </c:pt>
                <c:pt idx="5">
                  <c:v>0.72876581911511473</c:v>
                </c:pt>
                <c:pt idx="6">
                  <c:v>0.86168506481474205</c:v>
                </c:pt>
                <c:pt idx="7">
                  <c:v>0.99125873144453547</c:v>
                </c:pt>
                <c:pt idx="8">
                  <c:v>1.1176940435211717</c:v>
                </c:pt>
                <c:pt idx="9">
                  <c:v>1.2414239573641583</c:v>
                </c:pt>
                <c:pt idx="10">
                  <c:v>1.3628194894272256</c:v>
                </c:pt>
                <c:pt idx="11">
                  <c:v>1.4821728664301255</c:v>
                </c:pt>
                <c:pt idx="12">
                  <c:v>1.5994225163958531</c:v>
                </c:pt>
                <c:pt idx="13">
                  <c:v>1.7146346390643608</c:v>
                </c:pt>
                <c:pt idx="14">
                  <c:v>1.8278992653532</c:v>
                </c:pt>
                <c:pt idx="15">
                  <c:v>1.9418087052679356</c:v>
                </c:pt>
                <c:pt idx="16">
                  <c:v>2.0545624911663469</c:v>
                </c:pt>
                <c:pt idx="17">
                  <c:v>2.1686771622548537</c:v>
                </c:pt>
                <c:pt idx="18">
                  <c:v>2.2819036759551885</c:v>
                </c:pt>
                <c:pt idx="19">
                  <c:v>2.3943086596467547</c:v>
                </c:pt>
                <c:pt idx="20">
                  <c:v>2.5133778703222593</c:v>
                </c:pt>
                <c:pt idx="21">
                  <c:v>2.6743538307087666</c:v>
                </c:pt>
                <c:pt idx="22">
                  <c:v>2.9734068694430844</c:v>
                </c:pt>
              </c:numCache>
            </c:numRef>
          </c:xVal>
          <c:yVal>
            <c:numRef>
              <c:f>'Заряд 3 - var T'!$P$109:$P$131</c:f>
              <c:numCache>
                <c:formatCode>General</c:formatCode>
                <c:ptCount val="23"/>
                <c:pt idx="0">
                  <c:v>0</c:v>
                </c:pt>
                <c:pt idx="1">
                  <c:v>1621.6734953269033</c:v>
                </c:pt>
                <c:pt idx="2">
                  <c:v>1754.2846419102452</c:v>
                </c:pt>
                <c:pt idx="3">
                  <c:v>2030.9248016811337</c:v>
                </c:pt>
                <c:pt idx="4">
                  <c:v>2238.4551190364809</c:v>
                </c:pt>
                <c:pt idx="5">
                  <c:v>2422.0857230159486</c:v>
                </c:pt>
                <c:pt idx="6">
                  <c:v>2636.2126072973956</c:v>
                </c:pt>
                <c:pt idx="7">
                  <c:v>2859.6351206944883</c:v>
                </c:pt>
                <c:pt idx="8">
                  <c:v>3072.1041925394397</c:v>
                </c:pt>
                <c:pt idx="9">
                  <c:v>3272.0086348254854</c:v>
                </c:pt>
                <c:pt idx="10">
                  <c:v>3460.8158342383927</c:v>
                </c:pt>
                <c:pt idx="11">
                  <c:v>3670.2503016595092</c:v>
                </c:pt>
                <c:pt idx="12">
                  <c:v>3888.9292545968065</c:v>
                </c:pt>
                <c:pt idx="13">
                  <c:v>4113.9093068804732</c:v>
                </c:pt>
                <c:pt idx="14">
                  <c:v>4037.6015035181158</c:v>
                </c:pt>
                <c:pt idx="15">
                  <c:v>4175.6888783488293</c:v>
                </c:pt>
                <c:pt idx="16">
                  <c:v>4013.6980383275172</c:v>
                </c:pt>
                <c:pt idx="17">
                  <c:v>4118.4776297139342</c:v>
                </c:pt>
                <c:pt idx="18">
                  <c:v>4218.561513510178</c:v>
                </c:pt>
                <c:pt idx="19">
                  <c:v>3488.1900092574656</c:v>
                </c:pt>
                <c:pt idx="20">
                  <c:v>1274.2888364841729</c:v>
                </c:pt>
                <c:pt idx="21">
                  <c:v>125.21476815428612</c:v>
                </c:pt>
                <c:pt idx="22">
                  <c:v>0</c:v>
                </c:pt>
              </c:numCache>
            </c:numRef>
          </c:yVal>
        </c:ser>
        <c:ser>
          <c:idx val="2"/>
          <c:order val="2"/>
          <c:tx>
            <c:v>T= 50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'Заряд 3 - var T'!$Z$109:$Z$131</c:f>
              <c:numCache>
                <c:formatCode>0.000</c:formatCode>
                <c:ptCount val="23"/>
                <c:pt idx="0">
                  <c:v>0</c:v>
                </c:pt>
                <c:pt idx="1">
                  <c:v>0.13157894736842105</c:v>
                </c:pt>
                <c:pt idx="2">
                  <c:v>0.25916576709093631</c:v>
                </c:pt>
                <c:pt idx="3">
                  <c:v>0.38301401669109192</c:v>
                </c:pt>
                <c:pt idx="4">
                  <c:v>0.50016702674359059</c:v>
                </c:pt>
                <c:pt idx="5">
                  <c:v>0.61306010810397704</c:v>
                </c:pt>
                <c:pt idx="6">
                  <c:v>0.72260852172244505</c:v>
                </c:pt>
                <c:pt idx="7">
                  <c:v>0.82866777517850387</c:v>
                </c:pt>
                <c:pt idx="8">
                  <c:v>0.9314759933373995</c:v>
                </c:pt>
                <c:pt idx="9">
                  <c:v>1.0314990764492855</c:v>
                </c:pt>
                <c:pt idx="10">
                  <c:v>1.1291321307305628</c:v>
                </c:pt>
                <c:pt idx="11">
                  <c:v>1.2246844838315187</c:v>
                </c:pt>
                <c:pt idx="12">
                  <c:v>1.3181034221405628</c:v>
                </c:pt>
                <c:pt idx="13">
                  <c:v>1.4094658981409569</c:v>
                </c:pt>
                <c:pt idx="14">
                  <c:v>1.4988719259219134</c:v>
                </c:pt>
                <c:pt idx="15">
                  <c:v>1.5889247342856616</c:v>
                </c:pt>
                <c:pt idx="16">
                  <c:v>1.6778190677835281</c:v>
                </c:pt>
                <c:pt idx="17">
                  <c:v>1.7680779409109242</c:v>
                </c:pt>
                <c:pt idx="18">
                  <c:v>1.8574457708678733</c:v>
                </c:pt>
                <c:pt idx="19">
                  <c:v>1.9459910780444682</c:v>
                </c:pt>
                <c:pt idx="20">
                  <c:v>2.0412546577947444</c:v>
                </c:pt>
                <c:pt idx="21">
                  <c:v>2.1809606407943298</c:v>
                </c:pt>
                <c:pt idx="22">
                  <c:v>2.487693878696057</c:v>
                </c:pt>
              </c:numCache>
            </c:numRef>
          </c:xVal>
          <c:yVal>
            <c:numRef>
              <c:f>'Заряд 3 - var T'!$X$109:$X$131</c:f>
              <c:numCache>
                <c:formatCode>General</c:formatCode>
                <c:ptCount val="23"/>
                <c:pt idx="0">
                  <c:v>0</c:v>
                </c:pt>
                <c:pt idx="1">
                  <c:v>1920.6492425774109</c:v>
                </c:pt>
                <c:pt idx="2">
                  <c:v>2090.4502452809925</c:v>
                </c:pt>
                <c:pt idx="3">
                  <c:v>2447.9341048505908</c:v>
                </c:pt>
                <c:pt idx="4">
                  <c:v>2718.74117203172</c:v>
                </c:pt>
                <c:pt idx="5">
                  <c:v>2960.0704241577246</c:v>
                </c:pt>
                <c:pt idx="6">
                  <c:v>3243.3528443097289</c:v>
                </c:pt>
                <c:pt idx="7">
                  <c:v>3540.9324311256614</c:v>
                </c:pt>
                <c:pt idx="8">
                  <c:v>3825.6869698837372</c:v>
                </c:pt>
                <c:pt idx="9">
                  <c:v>4095.073910593389</c:v>
                </c:pt>
                <c:pt idx="10">
                  <c:v>4350.7438020543559</c:v>
                </c:pt>
                <c:pt idx="11">
                  <c:v>4635.678628482342</c:v>
                </c:pt>
                <c:pt idx="12">
                  <c:v>4934.6107361661807</c:v>
                </c:pt>
                <c:pt idx="13">
                  <c:v>5243.5936567358476</c:v>
                </c:pt>
                <c:pt idx="14">
                  <c:v>5138.6353237500425</c:v>
                </c:pt>
                <c:pt idx="15">
                  <c:v>5328.6858608559842</c:v>
                </c:pt>
                <c:pt idx="16">
                  <c:v>5105.7902746299524</c:v>
                </c:pt>
                <c:pt idx="17">
                  <c:v>5249.8822850935521</c:v>
                </c:pt>
                <c:pt idx="18">
                  <c:v>5387.7972222835979</c:v>
                </c:pt>
                <c:pt idx="19">
                  <c:v>4387.9081149997419</c:v>
                </c:pt>
                <c:pt idx="20">
                  <c:v>1481.3467827243899</c:v>
                </c:pt>
                <c:pt idx="21">
                  <c:v>121.39556635341312</c:v>
                </c:pt>
                <c:pt idx="22">
                  <c:v>0</c:v>
                </c:pt>
              </c:numCache>
            </c:numRef>
          </c:yVal>
        </c:ser>
        <c:axId val="78208384"/>
        <c:axId val="78238848"/>
      </c:scatterChart>
      <c:valAx>
        <c:axId val="78208384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78238848"/>
        <c:crosses val="autoZero"/>
        <c:crossBetween val="midCat"/>
      </c:valAx>
      <c:valAx>
        <c:axId val="78238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Тяга, кГс</a:t>
                </a:r>
              </a:p>
            </c:rich>
          </c:tx>
        </c:title>
        <c:numFmt formatCode="General" sourceLinked="1"/>
        <c:majorTickMark val="none"/>
        <c:tickLblPos val="nextTo"/>
        <c:crossAx val="782083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p</a:t>
            </a:r>
            <a:r>
              <a:rPr lang="ru-RU" baseline="0"/>
              <a:t>(</a:t>
            </a:r>
            <a:r>
              <a:rPr lang="en-US" baseline="0"/>
              <a:t>t)</a:t>
            </a:r>
            <a:r>
              <a:rPr lang="ru-RU" baseline="0"/>
              <a:t> в МПа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T= -40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'Заряд 3 - var T'!$J$109:$J$131</c:f>
              <c:numCache>
                <c:formatCode>0.000</c:formatCode>
                <c:ptCount val="23"/>
                <c:pt idx="0">
                  <c:v>0</c:v>
                </c:pt>
                <c:pt idx="1">
                  <c:v>0.16891891891891891</c:v>
                </c:pt>
                <c:pt idx="2">
                  <c:v>0.3351929702833033</c:v>
                </c:pt>
                <c:pt idx="3">
                  <c:v>0.49638332596893692</c:v>
                </c:pt>
                <c:pt idx="4">
                  <c:v>0.64848654879419199</c:v>
                </c:pt>
                <c:pt idx="5">
                  <c:v>0.7948198017282726</c:v>
                </c:pt>
                <c:pt idx="6">
                  <c:v>0.93662948942129454</c:v>
                </c:pt>
                <c:pt idx="7">
                  <c:v>1.0737266793269225</c:v>
                </c:pt>
                <c:pt idx="8">
                  <c:v>1.2064391294532322</c:v>
                </c:pt>
                <c:pt idx="9">
                  <c:v>1.3354000617289519</c:v>
                </c:pt>
                <c:pt idx="10">
                  <c:v>1.4611453414868447</c:v>
                </c:pt>
                <c:pt idx="11">
                  <c:v>1.584093974037905</c:v>
                </c:pt>
                <c:pt idx="12">
                  <c:v>1.7041778949948705</c:v>
                </c:pt>
                <c:pt idx="13">
                  <c:v>1.8215031632812291</c:v>
                </c:pt>
                <c:pt idx="14">
                  <c:v>1.936206482742832</c:v>
                </c:pt>
                <c:pt idx="15">
                  <c:v>2.0517763128565552</c:v>
                </c:pt>
                <c:pt idx="16">
                  <c:v>2.165794296392217</c:v>
                </c:pt>
                <c:pt idx="17">
                  <c:v>2.2816402551683073</c:v>
                </c:pt>
                <c:pt idx="18">
                  <c:v>2.3962924085238848</c:v>
                </c:pt>
                <c:pt idx="19">
                  <c:v>2.5098430246069974</c:v>
                </c:pt>
                <c:pt idx="20">
                  <c:v>2.632403730958238</c:v>
                </c:pt>
                <c:pt idx="21">
                  <c:v>2.8152016682386751</c:v>
                </c:pt>
                <c:pt idx="22">
                  <c:v>3.2307068694083858</c:v>
                </c:pt>
              </c:numCache>
            </c:numRef>
          </c:xVal>
          <c:yVal>
            <c:numRef>
              <c:f>'Заряд 3 - var T'!$E$109:$E$131</c:f>
              <c:numCache>
                <c:formatCode>General</c:formatCode>
                <c:ptCount val="23"/>
                <c:pt idx="0">
                  <c:v>0</c:v>
                </c:pt>
                <c:pt idx="1">
                  <c:v>9.7613474280429866</c:v>
                </c:pt>
                <c:pt idx="2">
                  <c:v>10.615901139967839</c:v>
                </c:pt>
                <c:pt idx="3">
                  <c:v>12.418430081510669</c:v>
                </c:pt>
                <c:pt idx="4">
                  <c:v>13.786678254650928</c:v>
                </c:pt>
                <c:pt idx="5">
                  <c:v>15.007789809329877</c:v>
                </c:pt>
                <c:pt idx="6">
                  <c:v>16.443158582772934</c:v>
                </c:pt>
                <c:pt idx="7">
                  <c:v>17.953081031538627</c:v>
                </c:pt>
                <c:pt idx="8">
                  <c:v>19.399793521028478</c:v>
                </c:pt>
                <c:pt idx="9">
                  <c:v>20.76998690725263</c:v>
                </c:pt>
                <c:pt idx="10">
                  <c:v>22.071720705919986</c:v>
                </c:pt>
                <c:pt idx="11">
                  <c:v>23.523868350843639</c:v>
                </c:pt>
                <c:pt idx="12">
                  <c:v>25.048858543739435</c:v>
                </c:pt>
                <c:pt idx="13">
                  <c:v>26.62664859572331</c:v>
                </c:pt>
                <c:pt idx="14">
                  <c:v>26.09052114630714</c:v>
                </c:pt>
                <c:pt idx="15">
                  <c:v>27.061423807416997</c:v>
                </c:pt>
                <c:pt idx="16">
                  <c:v>25.922783737976975</c:v>
                </c:pt>
                <c:pt idx="17">
                  <c:v>26.658776316942113</c:v>
                </c:pt>
                <c:pt idx="18">
                  <c:v>27.363515307739711</c:v>
                </c:pt>
                <c:pt idx="19">
                  <c:v>22.261043061383042</c:v>
                </c:pt>
                <c:pt idx="20">
                  <c:v>7.5561778344312378</c:v>
                </c:pt>
                <c:pt idx="21">
                  <c:v>0.82130488056508921</c:v>
                </c:pt>
                <c:pt idx="22">
                  <c:v>0</c:v>
                </c:pt>
              </c:numCache>
            </c:numRef>
          </c:yVal>
        </c:ser>
        <c:ser>
          <c:idx val="1"/>
          <c:order val="1"/>
          <c:tx>
            <c:v>T= 20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'Заряд 3 - var T'!$R$109:$R$131</c:f>
              <c:numCache>
                <c:formatCode>0.000</c:formatCode>
                <c:ptCount val="23"/>
                <c:pt idx="0">
                  <c:v>0</c:v>
                </c:pt>
                <c:pt idx="1">
                  <c:v>0.15625</c:v>
                </c:pt>
                <c:pt idx="2">
                  <c:v>0.30612320496434114</c:v>
                </c:pt>
                <c:pt idx="3">
                  <c:v>0.45252686758066246</c:v>
                </c:pt>
                <c:pt idx="4">
                  <c:v>0.59266073474973313</c:v>
                </c:pt>
                <c:pt idx="5">
                  <c:v>0.72876581911511473</c:v>
                </c:pt>
                <c:pt idx="6">
                  <c:v>0.86168506481474205</c:v>
                </c:pt>
                <c:pt idx="7">
                  <c:v>0.99125873144453547</c:v>
                </c:pt>
                <c:pt idx="8">
                  <c:v>1.1176940435211717</c:v>
                </c:pt>
                <c:pt idx="9">
                  <c:v>1.2414239573641583</c:v>
                </c:pt>
                <c:pt idx="10">
                  <c:v>1.3628194894272256</c:v>
                </c:pt>
                <c:pt idx="11">
                  <c:v>1.4821728664301255</c:v>
                </c:pt>
                <c:pt idx="12">
                  <c:v>1.5994225163958531</c:v>
                </c:pt>
                <c:pt idx="13">
                  <c:v>1.7146346390643608</c:v>
                </c:pt>
                <c:pt idx="14">
                  <c:v>1.8278992653532</c:v>
                </c:pt>
                <c:pt idx="15">
                  <c:v>1.9418087052679356</c:v>
                </c:pt>
                <c:pt idx="16">
                  <c:v>2.0545624911663469</c:v>
                </c:pt>
                <c:pt idx="17">
                  <c:v>2.1686771622548537</c:v>
                </c:pt>
                <c:pt idx="18">
                  <c:v>2.2819036759551885</c:v>
                </c:pt>
                <c:pt idx="19">
                  <c:v>2.3943086596467547</c:v>
                </c:pt>
                <c:pt idx="20">
                  <c:v>2.5133778703222593</c:v>
                </c:pt>
                <c:pt idx="21">
                  <c:v>2.6743538307087666</c:v>
                </c:pt>
                <c:pt idx="22">
                  <c:v>2.9734068694430844</c:v>
                </c:pt>
              </c:numCache>
            </c:numRef>
          </c:xVal>
          <c:yVal>
            <c:numRef>
              <c:f>'Заряд 3 - var T'!$M$109:$M$131</c:f>
              <c:numCache>
                <c:formatCode>General</c:formatCode>
                <c:ptCount val="23"/>
                <c:pt idx="0">
                  <c:v>0</c:v>
                </c:pt>
                <c:pt idx="1">
                  <c:v>10.961193010618421</c:v>
                </c:pt>
                <c:pt idx="2">
                  <c:v>11.830185317435559</c:v>
                </c:pt>
                <c:pt idx="3">
                  <c:v>13.642990475910556</c:v>
                </c:pt>
                <c:pt idx="4">
                  <c:v>15.002923285930994</c:v>
                </c:pt>
                <c:pt idx="5">
                  <c:v>16.206242812725485</c:v>
                </c:pt>
                <c:pt idx="6">
                  <c:v>17.609402501163583</c:v>
                </c:pt>
                <c:pt idx="7">
                  <c:v>19.073475848797333</c:v>
                </c:pt>
                <c:pt idx="8">
                  <c:v>20.465771999059513</c:v>
                </c:pt>
                <c:pt idx="9">
                  <c:v>21.775732940660827</c:v>
                </c:pt>
                <c:pt idx="10">
                  <c:v>23.012974364091185</c:v>
                </c:pt>
                <c:pt idx="11">
                  <c:v>24.385384946914364</c:v>
                </c:pt>
                <c:pt idx="12">
                  <c:v>25.818374048218235</c:v>
                </c:pt>
                <c:pt idx="13">
                  <c:v>27.292653847910294</c:v>
                </c:pt>
                <c:pt idx="14">
                  <c:v>26.792613724734611</c:v>
                </c:pt>
                <c:pt idx="15">
                  <c:v>27.697491402728673</c:v>
                </c:pt>
                <c:pt idx="16">
                  <c:v>26.635975856108331</c:v>
                </c:pt>
                <c:pt idx="17">
                  <c:v>27.322589773355602</c:v>
                </c:pt>
                <c:pt idx="18">
                  <c:v>27.978433021047131</c:v>
                </c:pt>
                <c:pt idx="19">
                  <c:v>23.192355570799098</c:v>
                </c:pt>
                <c:pt idx="20">
                  <c:v>8.6848037038499246</c:v>
                </c:pt>
                <c:pt idx="21">
                  <c:v>1.1549953048689647</c:v>
                </c:pt>
                <c:pt idx="22">
                  <c:v>0</c:v>
                </c:pt>
              </c:numCache>
            </c:numRef>
          </c:yVal>
        </c:ser>
        <c:ser>
          <c:idx val="2"/>
          <c:order val="2"/>
          <c:tx>
            <c:v>T= 50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'Заряд 3 - var T'!$Z$109:$Z$131</c:f>
              <c:numCache>
                <c:formatCode>0.000</c:formatCode>
                <c:ptCount val="23"/>
                <c:pt idx="0">
                  <c:v>0</c:v>
                </c:pt>
                <c:pt idx="1">
                  <c:v>0.13157894736842105</c:v>
                </c:pt>
                <c:pt idx="2">
                  <c:v>0.25916576709093631</c:v>
                </c:pt>
                <c:pt idx="3">
                  <c:v>0.38301401669109192</c:v>
                </c:pt>
                <c:pt idx="4">
                  <c:v>0.50016702674359059</c:v>
                </c:pt>
                <c:pt idx="5">
                  <c:v>0.61306010810397704</c:v>
                </c:pt>
                <c:pt idx="6">
                  <c:v>0.72260852172244505</c:v>
                </c:pt>
                <c:pt idx="7">
                  <c:v>0.82866777517850387</c:v>
                </c:pt>
                <c:pt idx="8">
                  <c:v>0.9314759933373995</c:v>
                </c:pt>
                <c:pt idx="9">
                  <c:v>1.0314990764492855</c:v>
                </c:pt>
                <c:pt idx="10">
                  <c:v>1.1291321307305628</c:v>
                </c:pt>
                <c:pt idx="11">
                  <c:v>1.2246844838315187</c:v>
                </c:pt>
                <c:pt idx="12">
                  <c:v>1.3181034221405628</c:v>
                </c:pt>
                <c:pt idx="13">
                  <c:v>1.4094658981409569</c:v>
                </c:pt>
                <c:pt idx="14">
                  <c:v>1.4988719259219134</c:v>
                </c:pt>
                <c:pt idx="15">
                  <c:v>1.5889247342856616</c:v>
                </c:pt>
                <c:pt idx="16">
                  <c:v>1.6778190677835281</c:v>
                </c:pt>
                <c:pt idx="17">
                  <c:v>1.7680779409109242</c:v>
                </c:pt>
                <c:pt idx="18">
                  <c:v>1.8574457708678733</c:v>
                </c:pt>
                <c:pt idx="19">
                  <c:v>1.9459910780444682</c:v>
                </c:pt>
                <c:pt idx="20">
                  <c:v>2.0412546577947444</c:v>
                </c:pt>
                <c:pt idx="21">
                  <c:v>2.1809606407943298</c:v>
                </c:pt>
                <c:pt idx="22">
                  <c:v>2.487693878696057</c:v>
                </c:pt>
              </c:numCache>
            </c:numRef>
          </c:xVal>
          <c:yVal>
            <c:numRef>
              <c:f>'Заряд 3 - var T'!$U$109:$U$131</c:f>
              <c:numCache>
                <c:formatCode>General</c:formatCode>
                <c:ptCount val="23"/>
                <c:pt idx="0">
                  <c:v>0</c:v>
                </c:pt>
                <c:pt idx="1">
                  <c:v>12.920361836010601</c:v>
                </c:pt>
                <c:pt idx="2">
                  <c:v>14.033056875914465</c:v>
                </c:pt>
                <c:pt idx="3">
                  <c:v>16.375625594917622</c:v>
                </c:pt>
                <c:pt idx="4">
                  <c:v>18.150206873152904</c:v>
                </c:pt>
                <c:pt idx="5">
                  <c:v>19.731621926944282</c:v>
                </c:pt>
                <c:pt idx="6">
                  <c:v>21.587953390106186</c:v>
                </c:pt>
                <c:pt idx="7">
                  <c:v>23.537973266047377</c:v>
                </c:pt>
                <c:pt idx="8">
                  <c:v>25.403951427668325</c:v>
                </c:pt>
                <c:pt idx="9">
                  <c:v>27.169226708555598</c:v>
                </c:pt>
                <c:pt idx="10">
                  <c:v>28.844615048741041</c:v>
                </c:pt>
                <c:pt idx="11">
                  <c:v>30.711774623857028</c:v>
                </c:pt>
                <c:pt idx="12">
                  <c:v>32.670657481978097</c:v>
                </c:pt>
                <c:pt idx="13">
                  <c:v>34.695402669926423</c:v>
                </c:pt>
                <c:pt idx="14">
                  <c:v>34.007617470484732</c:v>
                </c:pt>
                <c:pt idx="15">
                  <c:v>35.253006405778606</c:v>
                </c:pt>
                <c:pt idx="16">
                  <c:v>33.792385977976274</c:v>
                </c:pt>
                <c:pt idx="17">
                  <c:v>34.736611646728704</c:v>
                </c:pt>
                <c:pt idx="18">
                  <c:v>35.640359351964015</c:v>
                </c:pt>
                <c:pt idx="19">
                  <c:v>29.088150399047272</c:v>
                </c:pt>
                <c:pt idx="20">
                  <c:v>10.041641096361451</c:v>
                </c:pt>
                <c:pt idx="21">
                  <c:v>1.1299683213261069</c:v>
                </c:pt>
                <c:pt idx="22">
                  <c:v>0</c:v>
                </c:pt>
              </c:numCache>
            </c:numRef>
          </c:yVal>
        </c:ser>
        <c:axId val="79321728"/>
        <c:axId val="79331712"/>
      </c:scatterChart>
      <c:valAx>
        <c:axId val="79321728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79331712"/>
        <c:crosses val="autoZero"/>
        <c:crossBetween val="midCat"/>
      </c:valAx>
      <c:valAx>
        <c:axId val="79331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Внутрикамерное давление, МПа</a:t>
                </a:r>
              </a:p>
            </c:rich>
          </c:tx>
        </c:title>
        <c:numFmt formatCode="General" sourceLinked="1"/>
        <c:majorTickMark val="none"/>
        <c:tickLblPos val="nextTo"/>
        <c:crossAx val="7932172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U</a:t>
            </a:r>
            <a:r>
              <a:rPr lang="ru-RU" baseline="0"/>
              <a:t>(</a:t>
            </a:r>
            <a:r>
              <a:rPr lang="en-US" baseline="0"/>
              <a:t>t)</a:t>
            </a:r>
            <a:r>
              <a:rPr lang="ru-RU" baseline="0"/>
              <a:t> в мм/с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T= -40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'Заряд 3 - var T'!$J$109:$J$131</c:f>
              <c:numCache>
                <c:formatCode>0.000</c:formatCode>
                <c:ptCount val="23"/>
                <c:pt idx="0">
                  <c:v>0</c:v>
                </c:pt>
                <c:pt idx="1">
                  <c:v>0.16891891891891891</c:v>
                </c:pt>
                <c:pt idx="2">
                  <c:v>0.3351929702833033</c:v>
                </c:pt>
                <c:pt idx="3">
                  <c:v>0.49638332596893692</c:v>
                </c:pt>
                <c:pt idx="4">
                  <c:v>0.64848654879419199</c:v>
                </c:pt>
                <c:pt idx="5">
                  <c:v>0.7948198017282726</c:v>
                </c:pt>
                <c:pt idx="6">
                  <c:v>0.93662948942129454</c:v>
                </c:pt>
                <c:pt idx="7">
                  <c:v>1.0737266793269225</c:v>
                </c:pt>
                <c:pt idx="8">
                  <c:v>1.2064391294532322</c:v>
                </c:pt>
                <c:pt idx="9">
                  <c:v>1.3354000617289519</c:v>
                </c:pt>
                <c:pt idx="10">
                  <c:v>1.4611453414868447</c:v>
                </c:pt>
                <c:pt idx="11">
                  <c:v>1.584093974037905</c:v>
                </c:pt>
                <c:pt idx="12">
                  <c:v>1.7041778949948705</c:v>
                </c:pt>
                <c:pt idx="13">
                  <c:v>1.8215031632812291</c:v>
                </c:pt>
                <c:pt idx="14">
                  <c:v>1.936206482742832</c:v>
                </c:pt>
                <c:pt idx="15">
                  <c:v>2.0517763128565552</c:v>
                </c:pt>
                <c:pt idx="16">
                  <c:v>2.165794296392217</c:v>
                </c:pt>
                <c:pt idx="17">
                  <c:v>2.2816402551683073</c:v>
                </c:pt>
                <c:pt idx="18">
                  <c:v>2.3962924085238848</c:v>
                </c:pt>
                <c:pt idx="19">
                  <c:v>2.5098430246069974</c:v>
                </c:pt>
                <c:pt idx="20">
                  <c:v>2.632403730958238</c:v>
                </c:pt>
                <c:pt idx="21">
                  <c:v>2.8152016682386751</c:v>
                </c:pt>
                <c:pt idx="22">
                  <c:v>3.2307068694083858</c:v>
                </c:pt>
              </c:numCache>
            </c:numRef>
          </c:xVal>
          <c:yVal>
            <c:numRef>
              <c:f>'Заряд 3 - var T'!$I$109:$I$131</c:f>
              <c:numCache>
                <c:formatCode>0.000</c:formatCode>
                <c:ptCount val="23"/>
                <c:pt idx="0">
                  <c:v>14.8</c:v>
                </c:pt>
                <c:pt idx="1">
                  <c:v>15.035418813013271</c:v>
                </c:pt>
                <c:pt idx="2">
                  <c:v>15.509612776559045</c:v>
                </c:pt>
                <c:pt idx="3">
                  <c:v>16.436206633649984</c:v>
                </c:pt>
                <c:pt idx="4">
                  <c:v>17.084291846680856</c:v>
                </c:pt>
                <c:pt idx="5">
                  <c:v>17.629261023490837</c:v>
                </c:pt>
                <c:pt idx="6">
                  <c:v>18.235238823792788</c:v>
                </c:pt>
                <c:pt idx="7">
                  <c:v>18.837720180891925</c:v>
                </c:pt>
                <c:pt idx="8">
                  <c:v>19.38571593647427</c:v>
                </c:pt>
                <c:pt idx="9">
                  <c:v>19.881461990568887</c:v>
                </c:pt>
                <c:pt idx="10">
                  <c:v>20.333695040990051</c:v>
                </c:pt>
                <c:pt idx="11">
                  <c:v>20.818773904758853</c:v>
                </c:pt>
                <c:pt idx="12">
                  <c:v>21.308282832119239</c:v>
                </c:pt>
                <c:pt idx="13">
                  <c:v>21.795358771956707</c:v>
                </c:pt>
                <c:pt idx="14">
                  <c:v>21.631943194343602</c:v>
                </c:pt>
                <c:pt idx="15">
                  <c:v>21.926365670359953</c:v>
                </c:pt>
                <c:pt idx="16">
                  <c:v>21.580381624119106</c:v>
                </c:pt>
                <c:pt idx="17">
                  <c:v>21.80508544175882</c:v>
                </c:pt>
                <c:pt idx="18">
                  <c:v>22.016613262319453</c:v>
                </c:pt>
                <c:pt idx="19">
                  <c:v>20.398054763452279</c:v>
                </c:pt>
                <c:pt idx="20">
                  <c:v>13.676303120229719</c:v>
                </c:pt>
                <c:pt idx="21">
                  <c:v>6.0167718549903064</c:v>
                </c:pt>
                <c:pt idx="22">
                  <c:v>0</c:v>
                </c:pt>
              </c:numCache>
            </c:numRef>
          </c:yVal>
        </c:ser>
        <c:ser>
          <c:idx val="1"/>
          <c:order val="1"/>
          <c:tx>
            <c:v>T=20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'Заряд 3 - var T'!$R$109:$R$131</c:f>
              <c:numCache>
                <c:formatCode>0.000</c:formatCode>
                <c:ptCount val="23"/>
                <c:pt idx="0">
                  <c:v>0</c:v>
                </c:pt>
                <c:pt idx="1">
                  <c:v>0.15625</c:v>
                </c:pt>
                <c:pt idx="2">
                  <c:v>0.30612320496434114</c:v>
                </c:pt>
                <c:pt idx="3">
                  <c:v>0.45252686758066246</c:v>
                </c:pt>
                <c:pt idx="4">
                  <c:v>0.59266073474973313</c:v>
                </c:pt>
                <c:pt idx="5">
                  <c:v>0.72876581911511473</c:v>
                </c:pt>
                <c:pt idx="6">
                  <c:v>0.86168506481474205</c:v>
                </c:pt>
                <c:pt idx="7">
                  <c:v>0.99125873144453547</c:v>
                </c:pt>
                <c:pt idx="8">
                  <c:v>1.1176940435211717</c:v>
                </c:pt>
                <c:pt idx="9">
                  <c:v>1.2414239573641583</c:v>
                </c:pt>
                <c:pt idx="10">
                  <c:v>1.3628194894272256</c:v>
                </c:pt>
                <c:pt idx="11">
                  <c:v>1.4821728664301255</c:v>
                </c:pt>
                <c:pt idx="12">
                  <c:v>1.5994225163958531</c:v>
                </c:pt>
                <c:pt idx="13">
                  <c:v>1.7146346390643608</c:v>
                </c:pt>
                <c:pt idx="14">
                  <c:v>1.8278992653532</c:v>
                </c:pt>
                <c:pt idx="15">
                  <c:v>1.9418087052679356</c:v>
                </c:pt>
                <c:pt idx="16">
                  <c:v>2.0545624911663469</c:v>
                </c:pt>
                <c:pt idx="17">
                  <c:v>2.1686771622548537</c:v>
                </c:pt>
                <c:pt idx="18">
                  <c:v>2.2819036759551885</c:v>
                </c:pt>
                <c:pt idx="19">
                  <c:v>2.3943086596467547</c:v>
                </c:pt>
                <c:pt idx="20">
                  <c:v>2.5133778703222593</c:v>
                </c:pt>
                <c:pt idx="21">
                  <c:v>2.6743538307087666</c:v>
                </c:pt>
                <c:pt idx="22">
                  <c:v>2.9734068694430844</c:v>
                </c:pt>
              </c:numCache>
            </c:numRef>
          </c:xVal>
          <c:yVal>
            <c:numRef>
              <c:f>'Заряд 3 - var T'!$Q$109:$Q$131</c:f>
              <c:numCache>
                <c:formatCode>0.000</c:formatCode>
                <c:ptCount val="23"/>
                <c:pt idx="0">
                  <c:v>16</c:v>
                </c:pt>
                <c:pt idx="1">
                  <c:v>16.680766922912053</c:v>
                </c:pt>
                <c:pt idx="2">
                  <c:v>17.076075525184955</c:v>
                </c:pt>
                <c:pt idx="3">
                  <c:v>17.840084274444269</c:v>
                </c:pt>
                <c:pt idx="4">
                  <c:v>18.36816024659749</c:v>
                </c:pt>
                <c:pt idx="5">
                  <c:v>18.808412482640282</c:v>
                </c:pt>
                <c:pt idx="6">
                  <c:v>19.294043805542547</c:v>
                </c:pt>
                <c:pt idx="7">
                  <c:v>19.772957087215271</c:v>
                </c:pt>
                <c:pt idx="8">
                  <c:v>20.205299772312983</c:v>
                </c:pt>
                <c:pt idx="9">
                  <c:v>20.593838648865603</c:v>
                </c:pt>
                <c:pt idx="10">
                  <c:v>20.946202468483648</c:v>
                </c:pt>
                <c:pt idx="11">
                  <c:v>21.322025274538191</c:v>
                </c:pt>
                <c:pt idx="12">
                  <c:v>21.699105459527772</c:v>
                </c:pt>
                <c:pt idx="13">
                  <c:v>22.072204552414103</c:v>
                </c:pt>
                <c:pt idx="14">
                  <c:v>21.947259172473519</c:v>
                </c:pt>
                <c:pt idx="15">
                  <c:v>22.172204508081382</c:v>
                </c:pt>
                <c:pt idx="16">
                  <c:v>21.907787808116336</c:v>
                </c:pt>
                <c:pt idx="17">
                  <c:v>22.079634162511564</c:v>
                </c:pt>
                <c:pt idx="18">
                  <c:v>22.241006740945615</c:v>
                </c:pt>
                <c:pt idx="19">
                  <c:v>20.996191927509862</c:v>
                </c:pt>
                <c:pt idx="20">
                  <c:v>15.530269202913512</c:v>
                </c:pt>
                <c:pt idx="21">
                  <c:v>8.3597211069339021</c:v>
                </c:pt>
                <c:pt idx="22">
                  <c:v>0</c:v>
                </c:pt>
              </c:numCache>
            </c:numRef>
          </c:yVal>
        </c:ser>
        <c:ser>
          <c:idx val="2"/>
          <c:order val="2"/>
          <c:tx>
            <c:v>T=50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'Заряд 3 - var T'!$Z$109:$Z$131</c:f>
              <c:numCache>
                <c:formatCode>0.000</c:formatCode>
                <c:ptCount val="23"/>
                <c:pt idx="0">
                  <c:v>0</c:v>
                </c:pt>
                <c:pt idx="1">
                  <c:v>0.13157894736842105</c:v>
                </c:pt>
                <c:pt idx="2">
                  <c:v>0.25916576709093631</c:v>
                </c:pt>
                <c:pt idx="3">
                  <c:v>0.38301401669109192</c:v>
                </c:pt>
                <c:pt idx="4">
                  <c:v>0.50016702674359059</c:v>
                </c:pt>
                <c:pt idx="5">
                  <c:v>0.61306010810397704</c:v>
                </c:pt>
                <c:pt idx="6">
                  <c:v>0.72260852172244505</c:v>
                </c:pt>
                <c:pt idx="7">
                  <c:v>0.82866777517850387</c:v>
                </c:pt>
                <c:pt idx="8">
                  <c:v>0.9314759933373995</c:v>
                </c:pt>
                <c:pt idx="9">
                  <c:v>1.0314990764492855</c:v>
                </c:pt>
                <c:pt idx="10">
                  <c:v>1.1291321307305628</c:v>
                </c:pt>
                <c:pt idx="11">
                  <c:v>1.2246844838315187</c:v>
                </c:pt>
                <c:pt idx="12">
                  <c:v>1.3181034221405628</c:v>
                </c:pt>
                <c:pt idx="13">
                  <c:v>1.4094658981409569</c:v>
                </c:pt>
                <c:pt idx="14">
                  <c:v>1.4988719259219134</c:v>
                </c:pt>
                <c:pt idx="15">
                  <c:v>1.5889247342856616</c:v>
                </c:pt>
                <c:pt idx="16">
                  <c:v>1.6778190677835281</c:v>
                </c:pt>
                <c:pt idx="17">
                  <c:v>1.7680779409109242</c:v>
                </c:pt>
                <c:pt idx="18">
                  <c:v>1.8574457708678733</c:v>
                </c:pt>
                <c:pt idx="19">
                  <c:v>1.9459910780444682</c:v>
                </c:pt>
                <c:pt idx="20">
                  <c:v>2.0412546577947444</c:v>
                </c:pt>
                <c:pt idx="21">
                  <c:v>2.1809606407943298</c:v>
                </c:pt>
                <c:pt idx="22">
                  <c:v>2.487693878696057</c:v>
                </c:pt>
              </c:numCache>
            </c:numRef>
          </c:xVal>
          <c:yVal>
            <c:numRef>
              <c:f>'Заряд 3 - var T'!$Y$109:$Y$131</c:f>
              <c:numCache>
                <c:formatCode>0.000</c:formatCode>
                <c:ptCount val="23"/>
                <c:pt idx="0">
                  <c:v>19</c:v>
                </c:pt>
                <c:pt idx="1">
                  <c:v>19.594500477691774</c:v>
                </c:pt>
                <c:pt idx="2">
                  <c:v>20.185993811549668</c:v>
                </c:pt>
                <c:pt idx="3">
                  <c:v>21.339613885120816</c:v>
                </c:pt>
                <c:pt idx="4">
                  <c:v>22.144846875242038</c:v>
                </c:pt>
                <c:pt idx="5">
                  <c:v>22.820960317206655</c:v>
                </c:pt>
                <c:pt idx="6">
                  <c:v>23.571729184721921</c:v>
                </c:pt>
                <c:pt idx="7">
                  <c:v>24.317122159787989</c:v>
                </c:pt>
                <c:pt idx="8">
                  <c:v>24.994230553796196</c:v>
                </c:pt>
                <c:pt idx="9">
                  <c:v>25.606082063125758</c:v>
                </c:pt>
                <c:pt idx="10">
                  <c:v>26.163667548392308</c:v>
                </c:pt>
                <c:pt idx="11">
                  <c:v>26.761169044007094</c:v>
                </c:pt>
                <c:pt idx="12">
                  <c:v>27.363531609949078</c:v>
                </c:pt>
                <c:pt idx="13">
                  <c:v>27.962320461490183</c:v>
                </c:pt>
                <c:pt idx="14">
                  <c:v>27.761488457992421</c:v>
                </c:pt>
                <c:pt idx="15">
                  <c:v>28.123277397203289</c:v>
                </c:pt>
                <c:pt idx="16">
                  <c:v>27.698107824494613</c:v>
                </c:pt>
                <c:pt idx="17">
                  <c:v>27.974272187254844</c:v>
                </c:pt>
                <c:pt idx="18">
                  <c:v>28.234133233215786</c:v>
                </c:pt>
                <c:pt idx="19">
                  <c:v>26.242977710406201</c:v>
                </c:pt>
                <c:pt idx="20">
                  <c:v>17.894723950422517</c:v>
                </c:pt>
                <c:pt idx="21">
                  <c:v>8.1504046222762554</c:v>
                </c:pt>
                <c:pt idx="22">
                  <c:v>0</c:v>
                </c:pt>
              </c:numCache>
            </c:numRef>
          </c:yVal>
        </c:ser>
        <c:axId val="80615296"/>
        <c:axId val="80616832"/>
      </c:scatterChart>
      <c:valAx>
        <c:axId val="80615296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80616832"/>
        <c:crosses val="autoZero"/>
        <c:crossBetween val="midCat"/>
      </c:valAx>
      <c:valAx>
        <c:axId val="806168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Скорость горения, мм/с</a:t>
                </a:r>
              </a:p>
            </c:rich>
          </c:tx>
        </c:title>
        <c:numFmt formatCode="0.000" sourceLinked="1"/>
        <c:majorTickMark val="none"/>
        <c:tickLblPos val="nextTo"/>
        <c:crossAx val="806152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lineMarker"/>
        <c:ser>
          <c:idx val="0"/>
          <c:order val="0"/>
          <c:tx>
            <c:strRef>
              <c:f>'Заряд 3 - var T'!$F$223</c:f>
              <c:strCache>
                <c:ptCount val="1"/>
                <c:pt idx="0">
                  <c:v>S РДГ-1</c:v>
                </c:pt>
              </c:strCache>
            </c:strRef>
          </c:tx>
          <c:marker>
            <c:symbol val="none"/>
          </c:marker>
          <c:xVal>
            <c:numRef>
              <c:f>'Заряд 3 - var T'!$C$224:$C$255</c:f>
              <c:numCache>
                <c:formatCode>General</c:formatCode>
                <c:ptCount val="32"/>
                <c:pt idx="0">
                  <c:v>0</c:v>
                </c:pt>
                <c:pt idx="1">
                  <c:v>1.6610400000000001E-2</c:v>
                </c:pt>
                <c:pt idx="2">
                  <c:v>6.5057400000000001E-2</c:v>
                </c:pt>
                <c:pt idx="3">
                  <c:v>7.5438900000000003E-2</c:v>
                </c:pt>
                <c:pt idx="4">
                  <c:v>0.19994000000000001</c:v>
                </c:pt>
                <c:pt idx="5">
                  <c:v>0.29514220000000002</c:v>
                </c:pt>
                <c:pt idx="6">
                  <c:v>0.39988000000000001</c:v>
                </c:pt>
                <c:pt idx="7">
                  <c:v>0.50169559999999991</c:v>
                </c:pt>
                <c:pt idx="8">
                  <c:v>0.59982000000000002</c:v>
                </c:pt>
                <c:pt idx="9">
                  <c:v>0.66941449999999991</c:v>
                </c:pt>
                <c:pt idx="10">
                  <c:v>0.79976000000000003</c:v>
                </c:pt>
                <c:pt idx="11">
                  <c:v>0.90995769999999998</c:v>
                </c:pt>
                <c:pt idx="12">
                  <c:v>0.99969999999999992</c:v>
                </c:pt>
                <c:pt idx="13">
                  <c:v>1.0728857299999999</c:v>
                </c:pt>
                <c:pt idx="14">
                  <c:v>1.19964</c:v>
                </c:pt>
                <c:pt idx="15">
                  <c:v>1.2326301</c:v>
                </c:pt>
                <c:pt idx="16">
                  <c:v>1.39958</c:v>
                </c:pt>
                <c:pt idx="17">
                  <c:v>1.5306945000000001</c:v>
                </c:pt>
                <c:pt idx="18">
                  <c:v>1.5995200000000001</c:v>
                </c:pt>
                <c:pt idx="19">
                  <c:v>1.6924459599999999</c:v>
                </c:pt>
                <c:pt idx="20">
                  <c:v>1.7994600000000001</c:v>
                </c:pt>
                <c:pt idx="21">
                  <c:v>1.8890484999999999</c:v>
                </c:pt>
                <c:pt idx="22">
                  <c:v>1.9993999999999998</c:v>
                </c:pt>
                <c:pt idx="23">
                  <c:v>2.1024613799999998</c:v>
                </c:pt>
                <c:pt idx="24">
                  <c:v>2.4912600899999999</c:v>
                </c:pt>
                <c:pt idx="25">
                  <c:v>2.8674933400000002</c:v>
                </c:pt>
                <c:pt idx="26">
                  <c:v>2.9990999999999999</c:v>
                </c:pt>
                <c:pt idx="27">
                  <c:v>3.1154497000000001</c:v>
                </c:pt>
                <c:pt idx="28">
                  <c:v>3.3127674099999997</c:v>
                </c:pt>
                <c:pt idx="29">
                  <c:v>3.4771873000000002</c:v>
                </c:pt>
                <c:pt idx="30">
                  <c:v>3.6645926000000002</c:v>
                </c:pt>
                <c:pt idx="31">
                  <c:v>3.9987999999999997</c:v>
                </c:pt>
              </c:numCache>
            </c:numRef>
          </c:xVal>
          <c:yVal>
            <c:numRef>
              <c:f>'Заряд 3 - var T'!$F$224:$F$255</c:f>
              <c:numCache>
                <c:formatCode>General</c:formatCode>
                <c:ptCount val="32"/>
                <c:pt idx="0">
                  <c:v>23110.258869806003</c:v>
                </c:pt>
                <c:pt idx="1">
                  <c:v>70282.020662173236</c:v>
                </c:pt>
                <c:pt idx="2">
                  <c:v>220870.47066647327</c:v>
                </c:pt>
                <c:pt idx="3">
                  <c:v>323293.39708765445</c:v>
                </c:pt>
                <c:pt idx="4">
                  <c:v>327480.53523499658</c:v>
                </c:pt>
                <c:pt idx="5">
                  <c:v>331793.32594503934</c:v>
                </c:pt>
                <c:pt idx="6">
                  <c:v>337469.84538527252</c:v>
                </c:pt>
                <c:pt idx="7">
                  <c:v>344106.15000647749</c:v>
                </c:pt>
                <c:pt idx="8">
                  <c:v>353301.56825644081</c:v>
                </c:pt>
                <c:pt idx="9">
                  <c:v>362463.73469741578</c:v>
                </c:pt>
                <c:pt idx="10">
                  <c:v>384859.06441516714</c:v>
                </c:pt>
                <c:pt idx="11">
                  <c:v>408707.77258754335</c:v>
                </c:pt>
                <c:pt idx="12">
                  <c:v>432883.38290599582</c:v>
                </c:pt>
                <c:pt idx="13">
                  <c:v>453752.83512597735</c:v>
                </c:pt>
                <c:pt idx="14">
                  <c:v>489063.50313219632</c:v>
                </c:pt>
                <c:pt idx="15">
                  <c:v>497770.61497899191</c:v>
                </c:pt>
                <c:pt idx="16">
                  <c:v>540892.34742837923</c:v>
                </c:pt>
                <c:pt idx="17">
                  <c:v>583221.36558733333</c:v>
                </c:pt>
                <c:pt idx="18">
                  <c:v>608073.83059173462</c:v>
                </c:pt>
                <c:pt idx="19">
                  <c:v>643199.3457340952</c:v>
                </c:pt>
                <c:pt idx="20">
                  <c:v>686941.31620220502</c:v>
                </c:pt>
                <c:pt idx="21">
                  <c:v>728641.51301575429</c:v>
                </c:pt>
                <c:pt idx="22">
                  <c:v>794008.7158324864</c:v>
                </c:pt>
                <c:pt idx="23">
                  <c:v>929068.32022005774</c:v>
                </c:pt>
                <c:pt idx="24">
                  <c:v>957453.8459869856</c:v>
                </c:pt>
                <c:pt idx="25">
                  <c:v>983430.85382092767</c:v>
                </c:pt>
                <c:pt idx="26">
                  <c:v>990706.12504542083</c:v>
                </c:pt>
                <c:pt idx="27">
                  <c:v>995976.42471398436</c:v>
                </c:pt>
                <c:pt idx="28">
                  <c:v>481902.79459942284</c:v>
                </c:pt>
                <c:pt idx="29">
                  <c:v>121712.18506070077</c:v>
                </c:pt>
                <c:pt idx="30">
                  <c:v>36723.126049883409</c:v>
                </c:pt>
                <c:pt idx="31">
                  <c:v>27394.623109645883</c:v>
                </c:pt>
              </c:numCache>
            </c:numRef>
          </c:yVal>
        </c:ser>
        <c:axId val="80663680"/>
        <c:axId val="80665216"/>
      </c:scatterChart>
      <c:valAx>
        <c:axId val="80663680"/>
        <c:scaling>
          <c:orientation val="minMax"/>
        </c:scaling>
        <c:axPos val="b"/>
        <c:numFmt formatCode="General" sourceLinked="1"/>
        <c:majorTickMark val="none"/>
        <c:tickLblPos val="nextTo"/>
        <c:crossAx val="80665216"/>
        <c:crosses val="autoZero"/>
        <c:crossBetween val="midCat"/>
      </c:valAx>
      <c:valAx>
        <c:axId val="80665216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80663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R(t) </a:t>
            </a:r>
            <a:r>
              <a:rPr lang="ru-RU"/>
              <a:t>в кГс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T=-40</c:v>
          </c:tx>
          <c:marker>
            <c:symbol val="none"/>
          </c:marker>
          <c:xVal>
            <c:numRef>
              <c:f>'Заряд 3 - var T'!$J$224:$J$255</c:f>
              <c:numCache>
                <c:formatCode>General</c:formatCode>
                <c:ptCount val="32"/>
                <c:pt idx="0">
                  <c:v>0</c:v>
                </c:pt>
                <c:pt idx="1">
                  <c:v>2.3926366135429002E-2</c:v>
                </c:pt>
                <c:pt idx="2">
                  <c:v>8.7513988922539046E-2</c:v>
                </c:pt>
                <c:pt idx="3">
                  <c:v>0.10072472309327046</c:v>
                </c:pt>
                <c:pt idx="4">
                  <c:v>0.25899017218615472</c:v>
                </c:pt>
                <c:pt idx="5">
                  <c:v>0.37988240444991705</c:v>
                </c:pt>
                <c:pt idx="6">
                  <c:v>0.5127002630499583</c:v>
                </c:pt>
                <c:pt idx="7">
                  <c:v>0.64160842709136179</c:v>
                </c:pt>
                <c:pt idx="8">
                  <c:v>0.76557736232192775</c:v>
                </c:pt>
                <c:pt idx="9">
                  <c:v>0.85331939142124302</c:v>
                </c:pt>
                <c:pt idx="10">
                  <c:v>1.0168556350438123</c:v>
                </c:pt>
                <c:pt idx="11">
                  <c:v>1.1544401999927765</c:v>
                </c:pt>
                <c:pt idx="12">
                  <c:v>1.2659639209468232</c:v>
                </c:pt>
                <c:pt idx="13">
                  <c:v>1.3565654673126828</c:v>
                </c:pt>
                <c:pt idx="14">
                  <c:v>1.5125309056353331</c:v>
                </c:pt>
                <c:pt idx="15">
                  <c:v>1.5530656017457949</c:v>
                </c:pt>
                <c:pt idx="16">
                  <c:v>1.7568161799727615</c:v>
                </c:pt>
                <c:pt idx="17">
                  <c:v>1.9158559099507433</c:v>
                </c:pt>
                <c:pt idx="18">
                  <c:v>1.9990576314519111</c:v>
                </c:pt>
                <c:pt idx="19">
                  <c:v>2.1108826703190222</c:v>
                </c:pt>
                <c:pt idx="20">
                  <c:v>2.2389746484366739</c:v>
                </c:pt>
                <c:pt idx="21">
                  <c:v>2.3456968143679866</c:v>
                </c:pt>
                <c:pt idx="22">
                  <c:v>2.4762387713928877</c:v>
                </c:pt>
                <c:pt idx="23">
                  <c:v>2.5966111112251151</c:v>
                </c:pt>
                <c:pt idx="24">
                  <c:v>3.0496067100447872</c:v>
                </c:pt>
                <c:pt idx="25">
                  <c:v>3.4870100156947594</c:v>
                </c:pt>
                <c:pt idx="26">
                  <c:v>3.6399224360151772</c:v>
                </c:pt>
                <c:pt idx="27">
                  <c:v>3.7750497086539401</c:v>
                </c:pt>
                <c:pt idx="28">
                  <c:v>4.0181313320841356</c:v>
                </c:pt>
                <c:pt idx="29">
                  <c:v>4.2446377377308986</c:v>
                </c:pt>
                <c:pt idx="30">
                  <c:v>4.5291986581261057</c:v>
                </c:pt>
                <c:pt idx="31">
                  <c:v>5.0488916610169543</c:v>
                </c:pt>
              </c:numCache>
            </c:numRef>
          </c:xVal>
          <c:yVal>
            <c:numRef>
              <c:f>'Заряд 3 - var T'!$H$224:$H$255</c:f>
              <c:numCache>
                <c:formatCode>General</c:formatCode>
                <c:ptCount val="32"/>
                <c:pt idx="0">
                  <c:v>25.877528702908634</c:v>
                </c:pt>
                <c:pt idx="1">
                  <c:v>111.81540827494153</c:v>
                </c:pt>
                <c:pt idx="2">
                  <c:v>504.46989266942364</c:v>
                </c:pt>
                <c:pt idx="3">
                  <c:v>832.8076662440219</c:v>
                </c:pt>
                <c:pt idx="4">
                  <c:v>847.02886528065198</c:v>
                </c:pt>
                <c:pt idx="5">
                  <c:v>861.73697916260687</c:v>
                </c:pt>
                <c:pt idx="6">
                  <c:v>881.18801425125923</c:v>
                </c:pt>
                <c:pt idx="7">
                  <c:v>904.05909893210946</c:v>
                </c:pt>
                <c:pt idx="8">
                  <c:v>935.98034964988381</c:v>
                </c:pt>
                <c:pt idx="9">
                  <c:v>968.0482170606715</c:v>
                </c:pt>
                <c:pt idx="10">
                  <c:v>1047.5057380727835</c:v>
                </c:pt>
                <c:pt idx="11">
                  <c:v>1133.7393602173115</c:v>
                </c:pt>
                <c:pt idx="12">
                  <c:v>1222.7923781311051</c:v>
                </c:pt>
                <c:pt idx="13">
                  <c:v>1300.9438785416537</c:v>
                </c:pt>
                <c:pt idx="14">
                  <c:v>1435.7608925427521</c:v>
                </c:pt>
                <c:pt idx="15">
                  <c:v>1469.4889740148299</c:v>
                </c:pt>
                <c:pt idx="16">
                  <c:v>1639.2383240060569</c:v>
                </c:pt>
                <c:pt idx="17">
                  <c:v>1810.081532847141</c:v>
                </c:pt>
                <c:pt idx="18">
                  <c:v>1912.2472421733869</c:v>
                </c:pt>
                <c:pt idx="19">
                  <c:v>2058.8997596056074</c:v>
                </c:pt>
                <c:pt idx="20">
                  <c:v>2245.0841818545409</c:v>
                </c:pt>
                <c:pt idx="21">
                  <c:v>2426.1033948857194</c:v>
                </c:pt>
                <c:pt idx="22">
                  <c:v>2716.4592836966276</c:v>
                </c:pt>
                <c:pt idx="23">
                  <c:v>3340.1770932963268</c:v>
                </c:pt>
                <c:pt idx="24">
                  <c:v>3475.0985121555623</c:v>
                </c:pt>
                <c:pt idx="25">
                  <c:v>3599.6847227011845</c:v>
                </c:pt>
                <c:pt idx="26">
                  <c:v>3634.7649485460638</c:v>
                </c:pt>
                <c:pt idx="27">
                  <c:v>3660.2284077551353</c:v>
                </c:pt>
                <c:pt idx="28">
                  <c:v>1408.1646012357028</c:v>
                </c:pt>
                <c:pt idx="29">
                  <c:v>230.30541568254287</c:v>
                </c:pt>
                <c:pt idx="30">
                  <c:v>47.596419793442266</c:v>
                </c:pt>
                <c:pt idx="31">
                  <c:v>32.367403737471228</c:v>
                </c:pt>
              </c:numCache>
            </c:numRef>
          </c:yVal>
        </c:ser>
        <c:ser>
          <c:idx val="1"/>
          <c:order val="1"/>
          <c:tx>
            <c:v>T=+50</c:v>
          </c:tx>
          <c:marker>
            <c:symbol val="none"/>
          </c:marker>
          <c:xVal>
            <c:numRef>
              <c:f>'Заряд 3 - var T'!$M$224:$M$255</c:f>
              <c:numCache>
                <c:formatCode>General</c:formatCode>
                <c:ptCount val="32"/>
                <c:pt idx="0">
                  <c:v>0</c:v>
                </c:pt>
                <c:pt idx="1">
                  <c:v>1.6610400000000001E-2</c:v>
                </c:pt>
                <c:pt idx="2">
                  <c:v>6.5057400000000001E-2</c:v>
                </c:pt>
                <c:pt idx="3">
                  <c:v>7.5438900000000003E-2</c:v>
                </c:pt>
                <c:pt idx="4">
                  <c:v>0.19994000000000001</c:v>
                </c:pt>
                <c:pt idx="5">
                  <c:v>0.29514220000000002</c:v>
                </c:pt>
                <c:pt idx="6">
                  <c:v>0.39988000000000001</c:v>
                </c:pt>
                <c:pt idx="7">
                  <c:v>0.50169559999999991</c:v>
                </c:pt>
                <c:pt idx="8">
                  <c:v>0.59982000000000002</c:v>
                </c:pt>
                <c:pt idx="9">
                  <c:v>0.66941449999999991</c:v>
                </c:pt>
                <c:pt idx="10">
                  <c:v>0.79976000000000003</c:v>
                </c:pt>
                <c:pt idx="11">
                  <c:v>0.90995769999999998</c:v>
                </c:pt>
                <c:pt idx="12">
                  <c:v>0.99969999999999992</c:v>
                </c:pt>
                <c:pt idx="13">
                  <c:v>1.0728857299999999</c:v>
                </c:pt>
                <c:pt idx="14">
                  <c:v>1.19964</c:v>
                </c:pt>
                <c:pt idx="15">
                  <c:v>1.2326301</c:v>
                </c:pt>
                <c:pt idx="16">
                  <c:v>1.39958</c:v>
                </c:pt>
                <c:pt idx="17">
                  <c:v>1.5306945000000001</c:v>
                </c:pt>
                <c:pt idx="18">
                  <c:v>1.5995200000000001</c:v>
                </c:pt>
                <c:pt idx="19">
                  <c:v>1.6924459599999999</c:v>
                </c:pt>
                <c:pt idx="20">
                  <c:v>1.7994600000000001</c:v>
                </c:pt>
                <c:pt idx="21">
                  <c:v>1.8890484999999999</c:v>
                </c:pt>
                <c:pt idx="22">
                  <c:v>1.9993999999999998</c:v>
                </c:pt>
                <c:pt idx="23">
                  <c:v>2.1024613799999998</c:v>
                </c:pt>
                <c:pt idx="24">
                  <c:v>2.4912600899999999</c:v>
                </c:pt>
                <c:pt idx="25">
                  <c:v>2.8674933400000002</c:v>
                </c:pt>
                <c:pt idx="26">
                  <c:v>2.9990999999999999</c:v>
                </c:pt>
                <c:pt idx="27">
                  <c:v>3.1154497000000001</c:v>
                </c:pt>
                <c:pt idx="28">
                  <c:v>3.3127674099999997</c:v>
                </c:pt>
                <c:pt idx="29">
                  <c:v>3.4771873000000002</c:v>
                </c:pt>
                <c:pt idx="30">
                  <c:v>3.6645926000000002</c:v>
                </c:pt>
                <c:pt idx="31">
                  <c:v>3.9987999999999997</c:v>
                </c:pt>
              </c:numCache>
            </c:numRef>
          </c:xVal>
          <c:yVal>
            <c:numRef>
              <c:f>'Заряд 3 - var T'!$L$224:$L$255</c:f>
              <c:numCache>
                <c:formatCode>General</c:formatCode>
                <c:ptCount val="32"/>
                <c:pt idx="0">
                  <c:v>41.40274905596474</c:v>
                </c:pt>
                <c:pt idx="1">
                  <c:v>163.4460963082866</c:v>
                </c:pt>
                <c:pt idx="2">
                  <c:v>671.91934630828621</c:v>
                </c:pt>
                <c:pt idx="3">
                  <c:v>1075.4438697457865</c:v>
                </c:pt>
                <c:pt idx="4">
                  <c:v>1092.6657369332872</c:v>
                </c:pt>
                <c:pt idx="5">
                  <c:v>1110.4584947457872</c:v>
                </c:pt>
                <c:pt idx="6">
                  <c:v>1133.9601588082865</c:v>
                </c:pt>
                <c:pt idx="7">
                  <c:v>1161.553205683286</c:v>
                </c:pt>
                <c:pt idx="8">
                  <c:v>1199.9931744332862</c:v>
                </c:pt>
                <c:pt idx="9">
                  <c:v>1238.5282916207877</c:v>
                </c:pt>
                <c:pt idx="10">
                  <c:v>1333.6767291207861</c:v>
                </c:pt>
                <c:pt idx="11">
                  <c:v>1436.4370416207846</c:v>
                </c:pt>
                <c:pt idx="12">
                  <c:v>1542.0518072457876</c:v>
                </c:pt>
                <c:pt idx="13">
                  <c:v>1634.3457916207874</c:v>
                </c:pt>
                <c:pt idx="14">
                  <c:v>1792.7679400582863</c:v>
                </c:pt>
                <c:pt idx="15">
                  <c:v>1832.2545416207865</c:v>
                </c:pt>
                <c:pt idx="16">
                  <c:v>2030.1632916207891</c:v>
                </c:pt>
                <c:pt idx="17">
                  <c:v>2228.0720416207887</c:v>
                </c:pt>
                <c:pt idx="18">
                  <c:v>2345.8658072457888</c:v>
                </c:pt>
                <c:pt idx="19">
                  <c:v>2514.2785416207839</c:v>
                </c:pt>
                <c:pt idx="20">
                  <c:v>2727.0304478707858</c:v>
                </c:pt>
                <c:pt idx="21">
                  <c:v>2932.8365181832837</c:v>
                </c:pt>
                <c:pt idx="22">
                  <c:v>3261.0034791207836</c:v>
                </c:pt>
                <c:pt idx="23">
                  <c:v>3958.9172681832915</c:v>
                </c:pt>
                <c:pt idx="24">
                  <c:v>4108.776057245781</c:v>
                </c:pt>
                <c:pt idx="25">
                  <c:v>4246.8364400582823</c:v>
                </c:pt>
                <c:pt idx="26">
                  <c:v>4285.6570025582787</c:v>
                </c:pt>
                <c:pt idx="27">
                  <c:v>4313.8209400582809</c:v>
                </c:pt>
                <c:pt idx="28">
                  <c:v>1760.417471308285</c:v>
                </c:pt>
                <c:pt idx="29">
                  <c:v>321.96339318328626</c:v>
                </c:pt>
                <c:pt idx="30">
                  <c:v>73.340525995786507</c:v>
                </c:pt>
                <c:pt idx="31">
                  <c:v>51.075791620786532</c:v>
                </c:pt>
              </c:numCache>
            </c:numRef>
          </c:yVal>
        </c:ser>
        <c:axId val="80551296"/>
        <c:axId val="80565760"/>
      </c:scatterChart>
      <c:valAx>
        <c:axId val="80551296"/>
        <c:scaling>
          <c:orientation val="minMax"/>
        </c:scaling>
        <c:axPos val="b"/>
        <c:title/>
        <c:numFmt formatCode="General" sourceLinked="1"/>
        <c:majorTickMark val="none"/>
        <c:tickLblPos val="nextTo"/>
        <c:crossAx val="80565760"/>
        <c:crosses val="autoZero"/>
        <c:crossBetween val="midCat"/>
      </c:valAx>
      <c:valAx>
        <c:axId val="80565760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805512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S </a:t>
            </a:r>
            <a:r>
              <a:rPr lang="ru-RU"/>
              <a:t>РДГ-3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РДГ-3</c:v>
          </c:tx>
          <c:marker>
            <c:symbol val="none"/>
          </c:marker>
          <c:xVal>
            <c:numRef>
              <c:f>'Заряд 3 - var T'!$P$275:$P$306</c:f>
              <c:numCache>
                <c:formatCode>General</c:formatCode>
                <c:ptCount val="32"/>
                <c:pt idx="0">
                  <c:v>0</c:v>
                </c:pt>
                <c:pt idx="1">
                  <c:v>0.151998144282737</c:v>
                </c:pt>
                <c:pt idx="2">
                  <c:v>0.81688041692197988</c:v>
                </c:pt>
                <c:pt idx="3">
                  <c:v>0.9831666119309912</c:v>
                </c:pt>
                <c:pt idx="4">
                  <c:v>2.9880127739067399</c:v>
                </c:pt>
                <c:pt idx="5">
                  <c:v>4.5293862914589207</c:v>
                </c:pt>
                <c:pt idx="6">
                  <c:v>6.237115782064607</c:v>
                </c:pt>
                <c:pt idx="7">
                  <c:v>7.910678223143786</c:v>
                </c:pt>
                <c:pt idx="8">
                  <c:v>9.5413601394697967</c:v>
                </c:pt>
                <c:pt idx="9">
                  <c:v>10.710326902759888</c:v>
                </c:pt>
                <c:pt idx="10">
                  <c:v>12.955302672761473</c:v>
                </c:pt>
                <c:pt idx="11">
                  <c:v>14.901799737376228</c:v>
                </c:pt>
                <c:pt idx="12">
                  <c:v>16.525853279582964</c:v>
                </c:pt>
                <c:pt idx="13">
                  <c:v>17.876924168360542</c:v>
                </c:pt>
                <c:pt idx="14">
                  <c:v>20.292539832431554</c:v>
                </c:pt>
                <c:pt idx="15">
                  <c:v>20.92598629429235</c:v>
                </c:pt>
                <c:pt idx="16">
                  <c:v>24.247258913069672</c:v>
                </c:pt>
                <c:pt idx="17">
                  <c:v>26.941154263360438</c:v>
                </c:pt>
                <c:pt idx="18">
                  <c:v>28.380812441265817</c:v>
                </c:pt>
                <c:pt idx="19">
                  <c:v>30.37211908757644</c:v>
                </c:pt>
                <c:pt idx="20">
                  <c:v>32.731302497431692</c:v>
                </c:pt>
                <c:pt idx="21">
                  <c:v>34.757271724542221</c:v>
                </c:pt>
                <c:pt idx="22">
                  <c:v>37.347391328735661</c:v>
                </c:pt>
                <c:pt idx="23">
                  <c:v>39.937343138811897</c:v>
                </c:pt>
                <c:pt idx="24">
                  <c:v>49.836896100441479</c:v>
                </c:pt>
                <c:pt idx="25">
                  <c:v>59.52897916379127</c:v>
                </c:pt>
                <c:pt idx="26">
                  <c:v>62.930194185655566</c:v>
                </c:pt>
                <c:pt idx="27">
                  <c:v>65.944079477465124</c:v>
                </c:pt>
                <c:pt idx="28">
                  <c:v>69.680949286679407</c:v>
                </c:pt>
                <c:pt idx="29">
                  <c:v>71.482479546656734</c:v>
                </c:pt>
                <c:pt idx="30">
                  <c:v>72.935357550419042</c:v>
                </c:pt>
                <c:pt idx="31">
                  <c:v>75.384719760222097</c:v>
                </c:pt>
              </c:numCache>
            </c:numRef>
          </c:xVal>
          <c:yVal>
            <c:numRef>
              <c:f>'Заряд 3 - var T'!$F$275:$F$306</c:f>
              <c:numCache>
                <c:formatCode>General</c:formatCode>
                <c:ptCount val="32"/>
                <c:pt idx="0">
                  <c:v>42604.80282071454</c:v>
                </c:pt>
                <c:pt idx="1">
                  <c:v>63222.855020091374</c:v>
                </c:pt>
                <c:pt idx="2">
                  <c:v>129956.4864521219</c:v>
                </c:pt>
                <c:pt idx="3">
                  <c:v>171048.49071676025</c:v>
                </c:pt>
                <c:pt idx="4">
                  <c:v>172674.84424515543</c:v>
                </c:pt>
                <c:pt idx="5">
                  <c:v>174346.10991878086</c:v>
                </c:pt>
                <c:pt idx="6">
                  <c:v>176539.90116160788</c:v>
                </c:pt>
                <c:pt idx="7">
                  <c:v>179096.20038032872</c:v>
                </c:pt>
                <c:pt idx="8">
                  <c:v>182623.58013640731</c:v>
                </c:pt>
                <c:pt idx="9">
                  <c:v>186121.63474139853</c:v>
                </c:pt>
                <c:pt idx="10">
                  <c:v>194604.98599688892</c:v>
                </c:pt>
                <c:pt idx="11">
                  <c:v>203539.34661525005</c:v>
                </c:pt>
                <c:pt idx="12">
                  <c:v>212497.59503955825</c:v>
                </c:pt>
                <c:pt idx="13">
                  <c:v>220155.36471825794</c:v>
                </c:pt>
                <c:pt idx="14">
                  <c:v>232962.82619320898</c:v>
                </c:pt>
                <c:pt idx="15">
                  <c:v>236093.50404984836</c:v>
                </c:pt>
                <c:pt idx="16">
                  <c:v>251447.73858601437</c:v>
                </c:pt>
                <c:pt idx="17">
                  <c:v>266291.50288304343</c:v>
                </c:pt>
                <c:pt idx="18">
                  <c:v>274908.67720030993</c:v>
                </c:pt>
                <c:pt idx="19">
                  <c:v>286971.81552088883</c:v>
                </c:pt>
                <c:pt idx="20">
                  <c:v>301815.27543488558</c:v>
                </c:pt>
                <c:pt idx="21">
                  <c:v>315793.20969788538</c:v>
                </c:pt>
                <c:pt idx="22">
                  <c:v>337390.96775044757</c:v>
                </c:pt>
                <c:pt idx="23">
                  <c:v>380935.93604804686</c:v>
                </c:pt>
                <c:pt idx="24">
                  <c:v>389920.84803212457</c:v>
                </c:pt>
                <c:pt idx="25">
                  <c:v>398096.48340726865</c:v>
                </c:pt>
                <c:pt idx="26">
                  <c:v>400378.35875873588</c:v>
                </c:pt>
                <c:pt idx="27">
                  <c:v>402029.2677265192</c:v>
                </c:pt>
                <c:pt idx="28">
                  <c:v>230380.19258005751</c:v>
                </c:pt>
                <c:pt idx="29">
                  <c:v>87085.912140456305</c:v>
                </c:pt>
                <c:pt idx="30">
                  <c:v>47081.977909461319</c:v>
                </c:pt>
                <c:pt idx="31">
                  <c:v>42604.80282071454</c:v>
                </c:pt>
              </c:numCache>
            </c:numRef>
          </c:yVal>
        </c:ser>
        <c:axId val="80606720"/>
        <c:axId val="80608256"/>
      </c:scatterChart>
      <c:valAx>
        <c:axId val="80606720"/>
        <c:scaling>
          <c:orientation val="minMax"/>
        </c:scaling>
        <c:axPos val="b"/>
        <c:numFmt formatCode="General" sourceLinked="1"/>
        <c:majorTickMark val="none"/>
        <c:tickLblPos val="nextTo"/>
        <c:crossAx val="80608256"/>
        <c:crosses val="autoZero"/>
        <c:crossBetween val="midCat"/>
      </c:valAx>
      <c:valAx>
        <c:axId val="80608256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806067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R(t) </a:t>
            </a:r>
            <a:r>
              <a:rPr lang="ru-RU"/>
              <a:t>в кГс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T=-40</c:v>
          </c:tx>
          <c:marker>
            <c:symbol val="none"/>
          </c:marker>
          <c:xVal>
            <c:numRef>
              <c:f>'Заряд 3 - var T'!$J$275:$J$306</c:f>
              <c:numCache>
                <c:formatCode>General</c:formatCode>
                <c:ptCount val="32"/>
                <c:pt idx="0">
                  <c:v>0</c:v>
                </c:pt>
                <c:pt idx="1">
                  <c:v>2.2882926308789863E-2</c:v>
                </c:pt>
                <c:pt idx="2">
                  <c:v>8.8442685841929269E-2</c:v>
                </c:pt>
                <c:pt idx="3">
                  <c:v>0.10239580212914848</c:v>
                </c:pt>
                <c:pt idx="4">
                  <c:v>0.26969057196529012</c:v>
                </c:pt>
                <c:pt idx="5">
                  <c:v>0.3975852314511138</c:v>
                </c:pt>
                <c:pt idx="6">
                  <c:v>0.53824638831178717</c:v>
                </c:pt>
                <c:pt idx="7">
                  <c:v>0.67493433320009366</c:v>
                </c:pt>
                <c:pt idx="8">
                  <c:v>0.80660311631932524</c:v>
                </c:pt>
                <c:pt idx="9">
                  <c:v>0.89994495713056555</c:v>
                </c:pt>
                <c:pt idx="10">
                  <c:v>1.0745743716080067</c:v>
                </c:pt>
                <c:pt idx="11">
                  <c:v>1.2220466511301766</c:v>
                </c:pt>
                <c:pt idx="12">
                  <c:v>1.3420162286117716</c:v>
                </c:pt>
                <c:pt idx="13">
                  <c:v>1.4397667340990836</c:v>
                </c:pt>
                <c:pt idx="14">
                  <c:v>1.6088287876250424</c:v>
                </c:pt>
                <c:pt idx="15">
                  <c:v>1.6528156909156728</c:v>
                </c:pt>
                <c:pt idx="16">
                  <c:v>1.8750684988720758</c:v>
                </c:pt>
                <c:pt idx="17">
                  <c:v>2.0493671473052788</c:v>
                </c:pt>
                <c:pt idx="18">
                  <c:v>2.1407889198130445</c:v>
                </c:pt>
                <c:pt idx="19">
                  <c:v>2.2640922337988165</c:v>
                </c:pt>
                <c:pt idx="20">
                  <c:v>2.4059115049155211</c:v>
                </c:pt>
                <c:pt idx="21">
                  <c:v>2.5245045214961883</c:v>
                </c:pt>
                <c:pt idx="22">
                  <c:v>2.6703431346356687</c:v>
                </c:pt>
                <c:pt idx="23">
                  <c:v>2.8061378083652144</c:v>
                </c:pt>
                <c:pt idx="24">
                  <c:v>3.3181266475193629</c:v>
                </c:pt>
                <c:pt idx="25">
                  <c:v>3.8133137717040224</c:v>
                </c:pt>
                <c:pt idx="26">
                  <c:v>3.9865060292157843</c:v>
                </c:pt>
                <c:pt idx="27">
                  <c:v>4.1396047462080867</c:v>
                </c:pt>
                <c:pt idx="28">
                  <c:v>4.402855537090093</c:v>
                </c:pt>
                <c:pt idx="29">
                  <c:v>4.6275728708383568</c:v>
                </c:pt>
                <c:pt idx="30">
                  <c:v>4.8876417730688138</c:v>
                </c:pt>
                <c:pt idx="31">
                  <c:v>5.3525839132949651</c:v>
                </c:pt>
              </c:numCache>
            </c:numRef>
          </c:xVal>
          <c:yVal>
            <c:numRef>
              <c:f>'Заряд 3 - var T'!$H$275:$H$306</c:f>
              <c:numCache>
                <c:formatCode>General</c:formatCode>
                <c:ptCount val="32"/>
                <c:pt idx="0">
                  <c:v>83.763944926855842</c:v>
                </c:pt>
                <c:pt idx="1">
                  <c:v>153.32051260175598</c:v>
                </c:pt>
                <c:pt idx="2">
                  <c:v>481.17718465794547</c:v>
                </c:pt>
                <c:pt idx="3">
                  <c:v>744.2244439327477</c:v>
                </c:pt>
                <c:pt idx="4">
                  <c:v>755.48781717814654</c:v>
                </c:pt>
                <c:pt idx="5">
                  <c:v>767.12731791618364</c:v>
                </c:pt>
                <c:pt idx="6">
                  <c:v>782.50564195066204</c:v>
                </c:pt>
                <c:pt idx="7">
                  <c:v>800.56718670658711</c:v>
                </c:pt>
                <c:pt idx="8">
                  <c:v>825.73937486432874</c:v>
                </c:pt>
                <c:pt idx="9">
                  <c:v>850.98591223449193</c:v>
                </c:pt>
                <c:pt idx="10">
                  <c:v>913.3725131340525</c:v>
                </c:pt>
                <c:pt idx="11">
                  <c:v>980.82483583835585</c:v>
                </c:pt>
                <c:pt idx="12">
                  <c:v>1050.2264573664654</c:v>
                </c:pt>
                <c:pt idx="13">
                  <c:v>1110.9336504211917</c:v>
                </c:pt>
                <c:pt idx="14">
                  <c:v>1215.2567783066729</c:v>
                </c:pt>
                <c:pt idx="15">
                  <c:v>1241.2815311984787</c:v>
                </c:pt>
                <c:pt idx="16">
                  <c:v>1371.8440247854742</c:v>
                </c:pt>
                <c:pt idx="17">
                  <c:v>1502.6012526951788</c:v>
                </c:pt>
                <c:pt idx="18">
                  <c:v>1580.5125102000447</c:v>
                </c:pt>
                <c:pt idx="19">
                  <c:v>1692.0078744524722</c:v>
                </c:pt>
                <c:pt idx="20">
                  <c:v>1833.0208958471469</c:v>
                </c:pt>
                <c:pt idx="21">
                  <c:v>1969.5919499267818</c:v>
                </c:pt>
                <c:pt idx="22">
                  <c:v>2187.6633575439669</c:v>
                </c:pt>
                <c:pt idx="23">
                  <c:v>2652.5320693889353</c:v>
                </c:pt>
                <c:pt idx="24">
                  <c:v>2752.5251643238771</c:v>
                </c:pt>
                <c:pt idx="25">
                  <c:v>2844.6961033173825</c:v>
                </c:pt>
                <c:pt idx="26">
                  <c:v>2870.6216985637725</c:v>
                </c:pt>
                <c:pt idx="27">
                  <c:v>2889.432755818927</c:v>
                </c:pt>
                <c:pt idx="28">
                  <c:v>1193.9417738486386</c:v>
                </c:pt>
                <c:pt idx="29">
                  <c:v>254.88980309063052</c:v>
                </c:pt>
                <c:pt idx="30">
                  <c:v>96.027286744393663</c:v>
                </c:pt>
                <c:pt idx="31">
                  <c:v>81.942989602358978</c:v>
                </c:pt>
              </c:numCache>
            </c:numRef>
          </c:yVal>
        </c:ser>
        <c:ser>
          <c:idx val="1"/>
          <c:order val="1"/>
          <c:tx>
            <c:v>T=+50</c:v>
          </c:tx>
          <c:marker>
            <c:symbol val="none"/>
          </c:marker>
          <c:xVal>
            <c:numRef>
              <c:f>'Заряд 3 - var T'!$M$275:$M$306</c:f>
              <c:numCache>
                <c:formatCode>General</c:formatCode>
                <c:ptCount val="32"/>
                <c:pt idx="0">
                  <c:v>0</c:v>
                </c:pt>
                <c:pt idx="1">
                  <c:v>1.6610400000000001E-2</c:v>
                </c:pt>
                <c:pt idx="2">
                  <c:v>6.5057400000000001E-2</c:v>
                </c:pt>
                <c:pt idx="3">
                  <c:v>7.5438900000000003E-2</c:v>
                </c:pt>
                <c:pt idx="4">
                  <c:v>0.19994000000000001</c:v>
                </c:pt>
                <c:pt idx="5">
                  <c:v>0.29514220000000002</c:v>
                </c:pt>
                <c:pt idx="6">
                  <c:v>0.39988000000000001</c:v>
                </c:pt>
                <c:pt idx="7">
                  <c:v>0.50169559999999991</c:v>
                </c:pt>
                <c:pt idx="8">
                  <c:v>0.59982000000000002</c:v>
                </c:pt>
                <c:pt idx="9">
                  <c:v>0.66941449999999991</c:v>
                </c:pt>
                <c:pt idx="10">
                  <c:v>0.79976000000000003</c:v>
                </c:pt>
                <c:pt idx="11">
                  <c:v>0.90995769999999998</c:v>
                </c:pt>
                <c:pt idx="12">
                  <c:v>0.99969999999999992</c:v>
                </c:pt>
                <c:pt idx="13">
                  <c:v>1.0728857299999999</c:v>
                </c:pt>
                <c:pt idx="14">
                  <c:v>1.19964</c:v>
                </c:pt>
                <c:pt idx="15">
                  <c:v>1.2326301</c:v>
                </c:pt>
                <c:pt idx="16">
                  <c:v>1.39958</c:v>
                </c:pt>
                <c:pt idx="17">
                  <c:v>1.5306945000000001</c:v>
                </c:pt>
                <c:pt idx="18">
                  <c:v>1.5995200000000001</c:v>
                </c:pt>
                <c:pt idx="19">
                  <c:v>1.6924459599999999</c:v>
                </c:pt>
                <c:pt idx="20">
                  <c:v>1.7994600000000001</c:v>
                </c:pt>
                <c:pt idx="21">
                  <c:v>1.8890484999999999</c:v>
                </c:pt>
                <c:pt idx="22">
                  <c:v>1.9993999999999998</c:v>
                </c:pt>
                <c:pt idx="23">
                  <c:v>2.1024613799999998</c:v>
                </c:pt>
                <c:pt idx="24">
                  <c:v>2.4912600899999999</c:v>
                </c:pt>
                <c:pt idx="25">
                  <c:v>2.8674933400000002</c:v>
                </c:pt>
                <c:pt idx="26">
                  <c:v>2.9990999999999999</c:v>
                </c:pt>
                <c:pt idx="27">
                  <c:v>3.1154497000000001</c:v>
                </c:pt>
                <c:pt idx="28">
                  <c:v>3.3127674099999997</c:v>
                </c:pt>
                <c:pt idx="29">
                  <c:v>3.4771873000000002</c:v>
                </c:pt>
                <c:pt idx="30">
                  <c:v>3.6645926000000002</c:v>
                </c:pt>
                <c:pt idx="31">
                  <c:v>3.9987999999999997</c:v>
                </c:pt>
              </c:numCache>
            </c:numRef>
          </c:xVal>
          <c:yVal>
            <c:numRef>
              <c:f>'Заряд 3 - var T'!$L$275:$L$306</c:f>
              <c:numCache>
                <c:formatCode>General</c:formatCode>
                <c:ptCount val="32"/>
                <c:pt idx="0">
                  <c:v>125.53298283141913</c:v>
                </c:pt>
                <c:pt idx="1">
                  <c:v>232.59203225400725</c:v>
                </c:pt>
                <c:pt idx="2">
                  <c:v>717.03196461159416</c:v>
                </c:pt>
                <c:pt idx="3">
                  <c:v>1101.4836399724745</c:v>
                </c:pt>
                <c:pt idx="4">
                  <c:v>1117.8915044479068</c:v>
                </c:pt>
                <c:pt idx="5">
                  <c:v>1134.8432760330272</c:v>
                </c:pt>
                <c:pt idx="6">
                  <c:v>1157.2341187149696</c:v>
                </c:pt>
                <c:pt idx="7">
                  <c:v>1183.5229623496482</c:v>
                </c:pt>
                <c:pt idx="8">
                  <c:v>1220.1460410682955</c:v>
                </c:pt>
                <c:pt idx="9">
                  <c:v>1256.8597709718952</c:v>
                </c:pt>
                <c:pt idx="10">
                  <c:v>1347.5109559190457</c:v>
                </c:pt>
                <c:pt idx="11">
                  <c:v>1445.4142356619759</c:v>
                </c:pt>
                <c:pt idx="12">
                  <c:v>1546.0370509533172</c:v>
                </c:pt>
                <c:pt idx="13">
                  <c:v>1633.9687003520505</c:v>
                </c:pt>
                <c:pt idx="14">
                  <c:v>1784.9029232890587</c:v>
                </c:pt>
                <c:pt idx="15">
                  <c:v>1822.5231650421274</c:v>
                </c:pt>
                <c:pt idx="16">
                  <c:v>2011.0776297322143</c:v>
                </c:pt>
                <c:pt idx="17">
                  <c:v>2199.6320944222857</c:v>
                </c:pt>
                <c:pt idx="18">
                  <c:v>2311.8582613868675</c:v>
                </c:pt>
                <c:pt idx="19">
                  <c:v>2472.3108587433267</c:v>
                </c:pt>
                <c:pt idx="20">
                  <c:v>2675.0069082851574</c:v>
                </c:pt>
                <c:pt idx="21">
                  <c:v>2871.0854213258481</c:v>
                </c:pt>
                <c:pt idx="22">
                  <c:v>3183.7413582085806</c:v>
                </c:pt>
                <c:pt idx="23">
                  <c:v>3848.6677997959564</c:v>
                </c:pt>
                <c:pt idx="24">
                  <c:v>3991.4434160877331</c:v>
                </c:pt>
                <c:pt idx="25">
                  <c:v>4122.9782854460345</c:v>
                </c:pt>
                <c:pt idx="26">
                  <c:v>4159.9639689044798</c:v>
                </c:pt>
                <c:pt idx="27">
                  <c:v>4186.796719648828</c:v>
                </c:pt>
                <c:pt idx="28">
                  <c:v>1754.0815204070295</c:v>
                </c:pt>
                <c:pt idx="29">
                  <c:v>383.61690637596575</c:v>
                </c:pt>
                <c:pt idx="30">
                  <c:v>146.74536010905322</c:v>
                </c:pt>
                <c:pt idx="31">
                  <c:v>125.53298283141913</c:v>
                </c:pt>
              </c:numCache>
            </c:numRef>
          </c:yVal>
        </c:ser>
        <c:ser>
          <c:idx val="2"/>
          <c:order val="2"/>
          <c:tx>
            <c:v>Номинал</c:v>
          </c:tx>
          <c:marker>
            <c:symbol val="none"/>
          </c:marker>
          <c:xVal>
            <c:numRef>
              <c:f>'Заряд 3 - var T'!$T$275:$T$306</c:f>
              <c:numCache>
                <c:formatCode>General</c:formatCode>
                <c:ptCount val="32"/>
                <c:pt idx="0">
                  <c:v>0</c:v>
                </c:pt>
                <c:pt idx="1">
                  <c:v>1.6661444359685161E-2</c:v>
                </c:pt>
                <c:pt idx="2">
                  <c:v>6.962698319312359E-2</c:v>
                </c:pt>
                <c:pt idx="3">
                  <c:v>8.135556051432577E-2</c:v>
                </c:pt>
                <c:pt idx="4">
                  <c:v>0.22217075972210751</c:v>
                </c:pt>
                <c:pt idx="5">
                  <c:v>0.32997186529177824</c:v>
                </c:pt>
                <c:pt idx="6">
                  <c:v>0.44874784701169618</c:v>
                </c:pt>
                <c:pt idx="7">
                  <c:v>0.56440848794616449</c:v>
                </c:pt>
                <c:pt idx="8">
                  <c:v>0.67613609417226295</c:v>
                </c:pt>
                <c:pt idx="9">
                  <c:v>0.75555850536395808</c:v>
                </c:pt>
                <c:pt idx="10">
                  <c:v>0.90510537860512363</c:v>
                </c:pt>
                <c:pt idx="11">
                  <c:v>1.032216449965438</c:v>
                </c:pt>
                <c:pt idx="12">
                  <c:v>1.1362667512842817</c:v>
                </c:pt>
                <c:pt idx="13">
                  <c:v>1.2214805402085489</c:v>
                </c:pt>
                <c:pt idx="14">
                  <c:v>1.3700674784271631</c:v>
                </c:pt>
                <c:pt idx="15">
                  <c:v>1.4088016658467326</c:v>
                </c:pt>
                <c:pt idx="16">
                  <c:v>1.6063015763134629</c:v>
                </c:pt>
                <c:pt idx="17">
                  <c:v>1.7624753560159061</c:v>
                </c:pt>
                <c:pt idx="18">
                  <c:v>1.8447677268276981</c:v>
                </c:pt>
                <c:pt idx="19">
                  <c:v>1.9564478795043501</c:v>
                </c:pt>
                <c:pt idx="20">
                  <c:v>2.0858367603463943</c:v>
                </c:pt>
                <c:pt idx="21">
                  <c:v>2.1947443110650648</c:v>
                </c:pt>
                <c:pt idx="22">
                  <c:v>2.3299569346711149</c:v>
                </c:pt>
                <c:pt idx="23">
                  <c:v>2.4580821876852395</c:v>
                </c:pt>
                <c:pt idx="24">
                  <c:v>2.9427826818637643</c:v>
                </c:pt>
                <c:pt idx="25">
                  <c:v>3.4129827942289346</c:v>
                </c:pt>
                <c:pt idx="26">
                  <c:v>3.5775715066031082</c:v>
                </c:pt>
                <c:pt idx="27">
                  <c:v>3.723151267246807</c:v>
                </c:pt>
                <c:pt idx="28">
                  <c:v>3.9541478476864582</c:v>
                </c:pt>
                <c:pt idx="29">
                  <c:v>4.1255064961208996</c:v>
                </c:pt>
                <c:pt idx="30">
                  <c:v>4.3069812813342372</c:v>
                </c:pt>
                <c:pt idx="31">
                  <c:v>4.6267711552717543</c:v>
                </c:pt>
              </c:numCache>
            </c:numRef>
          </c:xVal>
          <c:yVal>
            <c:numRef>
              <c:f>'Заряд 3 - var T'!$R$275:$R$306</c:f>
              <c:numCache>
                <c:formatCode>General</c:formatCode>
                <c:ptCount val="32"/>
                <c:pt idx="0">
                  <c:v>124.09933312022406</c:v>
                </c:pt>
                <c:pt idx="1">
                  <c:v>219.34235673842227</c:v>
                </c:pt>
                <c:pt idx="2">
                  <c:v>620.40063667880167</c:v>
                </c:pt>
                <c:pt idx="3">
                  <c:v>922.25931194295515</c:v>
                </c:pt>
                <c:pt idx="4">
                  <c:v>934.93955748257645</c:v>
                </c:pt>
                <c:pt idx="5">
                  <c:v>948.02520363201575</c:v>
                </c:pt>
                <c:pt idx="6">
                  <c:v>965.28659056378672</c:v>
                </c:pt>
                <c:pt idx="7">
                  <c:v>985.52045732195165</c:v>
                </c:pt>
                <c:pt idx="8">
                  <c:v>1013.6512502998687</c:v>
                </c:pt>
                <c:pt idx="9">
                  <c:v>1041.7869244728993</c:v>
                </c:pt>
                <c:pt idx="10">
                  <c:v>1110.9927772707936</c:v>
                </c:pt>
                <c:pt idx="11">
                  <c:v>1185.3366269837152</c:v>
                </c:pt>
                <c:pt idx="12">
                  <c:v>1261.3452529669812</c:v>
                </c:pt>
                <c:pt idx="13">
                  <c:v>1327.4570921166437</c:v>
                </c:pt>
                <c:pt idx="14">
                  <c:v>1440.3127055461603</c:v>
                </c:pt>
                <c:pt idx="15">
                  <c:v>1468.3259214665525</c:v>
                </c:pt>
                <c:pt idx="16">
                  <c:v>1608.0824858400003</c:v>
                </c:pt>
                <c:pt idx="17">
                  <c:v>1746.8389884553239</c:v>
                </c:pt>
                <c:pt idx="18">
                  <c:v>1828.9895830502051</c:v>
                </c:pt>
                <c:pt idx="19">
                  <c:v>1945.9172183448429</c:v>
                </c:pt>
                <c:pt idx="20">
                  <c:v>2092.8058410402355</c:v>
                </c:pt>
                <c:pt idx="21">
                  <c:v>2234.0897477677486</c:v>
                </c:pt>
                <c:pt idx="22">
                  <c:v>2457.8705622921748</c:v>
                </c:pt>
                <c:pt idx="23">
                  <c:v>2928.4099375018823</c:v>
                </c:pt>
                <c:pt idx="24">
                  <c:v>3028.5974901201148</c:v>
                </c:pt>
                <c:pt idx="25">
                  <c:v>3120.6547343171878</c:v>
                </c:pt>
                <c:pt idx="26">
                  <c:v>3146.4991394327044</c:v>
                </c:pt>
                <c:pt idx="27">
                  <c:v>3165.2379966014164</c:v>
                </c:pt>
                <c:pt idx="28">
                  <c:v>1417.3284836314795</c:v>
                </c:pt>
                <c:pt idx="29">
                  <c:v>348.18197798329697</c:v>
                </c:pt>
                <c:pt idx="30">
                  <c:v>143.34752383560848</c:v>
                </c:pt>
                <c:pt idx="31">
                  <c:v>124.09933312022406</c:v>
                </c:pt>
              </c:numCache>
            </c:numRef>
          </c:yVal>
        </c:ser>
        <c:axId val="81167104"/>
        <c:axId val="81169024"/>
      </c:scatterChart>
      <c:valAx>
        <c:axId val="81167104"/>
        <c:scaling>
          <c:orientation val="minMax"/>
        </c:scaling>
        <c:axPos val="b"/>
        <c:title/>
        <c:numFmt formatCode="General" sourceLinked="1"/>
        <c:majorTickMark val="none"/>
        <c:tickLblPos val="nextTo"/>
        <c:crossAx val="81169024"/>
        <c:crosses val="autoZero"/>
        <c:crossBetween val="midCat"/>
      </c:valAx>
      <c:valAx>
        <c:axId val="81169024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811671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R(t) </a:t>
            </a:r>
            <a:r>
              <a:rPr lang="ru-RU"/>
              <a:t>в кГс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T=-40</c:v>
          </c:tx>
          <c:marker>
            <c:symbol val="none"/>
          </c:marker>
          <c:xVal>
            <c:numRef>
              <c:f>'Заряд 3 - var T'!$J$224:$J$255</c:f>
              <c:numCache>
                <c:formatCode>General</c:formatCode>
                <c:ptCount val="32"/>
                <c:pt idx="0">
                  <c:v>0</c:v>
                </c:pt>
                <c:pt idx="1">
                  <c:v>2.3926366135429002E-2</c:v>
                </c:pt>
                <c:pt idx="2">
                  <c:v>8.7513988922539046E-2</c:v>
                </c:pt>
                <c:pt idx="3">
                  <c:v>0.10072472309327046</c:v>
                </c:pt>
                <c:pt idx="4">
                  <c:v>0.25899017218615472</c:v>
                </c:pt>
                <c:pt idx="5">
                  <c:v>0.37988240444991705</c:v>
                </c:pt>
                <c:pt idx="6">
                  <c:v>0.5127002630499583</c:v>
                </c:pt>
                <c:pt idx="7">
                  <c:v>0.64160842709136179</c:v>
                </c:pt>
                <c:pt idx="8">
                  <c:v>0.76557736232192775</c:v>
                </c:pt>
                <c:pt idx="9">
                  <c:v>0.85331939142124302</c:v>
                </c:pt>
                <c:pt idx="10">
                  <c:v>1.0168556350438123</c:v>
                </c:pt>
                <c:pt idx="11">
                  <c:v>1.1544401999927765</c:v>
                </c:pt>
                <c:pt idx="12">
                  <c:v>1.2659639209468232</c:v>
                </c:pt>
                <c:pt idx="13">
                  <c:v>1.3565654673126828</c:v>
                </c:pt>
                <c:pt idx="14">
                  <c:v>1.5125309056353331</c:v>
                </c:pt>
                <c:pt idx="15">
                  <c:v>1.5530656017457949</c:v>
                </c:pt>
                <c:pt idx="16">
                  <c:v>1.7568161799727615</c:v>
                </c:pt>
                <c:pt idx="17">
                  <c:v>1.9158559099507433</c:v>
                </c:pt>
                <c:pt idx="18">
                  <c:v>1.9990576314519111</c:v>
                </c:pt>
                <c:pt idx="19">
                  <c:v>2.1108826703190222</c:v>
                </c:pt>
                <c:pt idx="20">
                  <c:v>2.2389746484366739</c:v>
                </c:pt>
                <c:pt idx="21">
                  <c:v>2.3456968143679866</c:v>
                </c:pt>
                <c:pt idx="22">
                  <c:v>2.4762387713928877</c:v>
                </c:pt>
                <c:pt idx="23">
                  <c:v>2.5966111112251151</c:v>
                </c:pt>
                <c:pt idx="24">
                  <c:v>3.0496067100447872</c:v>
                </c:pt>
                <c:pt idx="25">
                  <c:v>3.4870100156947594</c:v>
                </c:pt>
                <c:pt idx="26">
                  <c:v>3.6399224360151772</c:v>
                </c:pt>
                <c:pt idx="27">
                  <c:v>3.7750497086539401</c:v>
                </c:pt>
                <c:pt idx="28">
                  <c:v>4.0181313320841356</c:v>
                </c:pt>
                <c:pt idx="29">
                  <c:v>4.2446377377308986</c:v>
                </c:pt>
                <c:pt idx="30">
                  <c:v>4.5291986581261057</c:v>
                </c:pt>
                <c:pt idx="31">
                  <c:v>5.0488916610169543</c:v>
                </c:pt>
              </c:numCache>
            </c:numRef>
          </c:xVal>
          <c:yVal>
            <c:numRef>
              <c:f>'Заряд 3 - var T'!$H$224:$H$255</c:f>
              <c:numCache>
                <c:formatCode>General</c:formatCode>
                <c:ptCount val="32"/>
                <c:pt idx="0">
                  <c:v>25.877528702908634</c:v>
                </c:pt>
                <c:pt idx="1">
                  <c:v>111.81540827494153</c:v>
                </c:pt>
                <c:pt idx="2">
                  <c:v>504.46989266942364</c:v>
                </c:pt>
                <c:pt idx="3">
                  <c:v>832.8076662440219</c:v>
                </c:pt>
                <c:pt idx="4">
                  <c:v>847.02886528065198</c:v>
                </c:pt>
                <c:pt idx="5">
                  <c:v>861.73697916260687</c:v>
                </c:pt>
                <c:pt idx="6">
                  <c:v>881.18801425125923</c:v>
                </c:pt>
                <c:pt idx="7">
                  <c:v>904.05909893210946</c:v>
                </c:pt>
                <c:pt idx="8">
                  <c:v>935.98034964988381</c:v>
                </c:pt>
                <c:pt idx="9">
                  <c:v>968.0482170606715</c:v>
                </c:pt>
                <c:pt idx="10">
                  <c:v>1047.5057380727835</c:v>
                </c:pt>
                <c:pt idx="11">
                  <c:v>1133.7393602173115</c:v>
                </c:pt>
                <c:pt idx="12">
                  <c:v>1222.7923781311051</c:v>
                </c:pt>
                <c:pt idx="13">
                  <c:v>1300.9438785416537</c:v>
                </c:pt>
                <c:pt idx="14">
                  <c:v>1435.7608925427521</c:v>
                </c:pt>
                <c:pt idx="15">
                  <c:v>1469.4889740148299</c:v>
                </c:pt>
                <c:pt idx="16">
                  <c:v>1639.2383240060569</c:v>
                </c:pt>
                <c:pt idx="17">
                  <c:v>1810.081532847141</c:v>
                </c:pt>
                <c:pt idx="18">
                  <c:v>1912.2472421733869</c:v>
                </c:pt>
                <c:pt idx="19">
                  <c:v>2058.8997596056074</c:v>
                </c:pt>
                <c:pt idx="20">
                  <c:v>2245.0841818545409</c:v>
                </c:pt>
                <c:pt idx="21">
                  <c:v>2426.1033948857194</c:v>
                </c:pt>
                <c:pt idx="22">
                  <c:v>2716.4592836966276</c:v>
                </c:pt>
                <c:pt idx="23">
                  <c:v>3340.1770932963268</c:v>
                </c:pt>
                <c:pt idx="24">
                  <c:v>3475.0985121555623</c:v>
                </c:pt>
                <c:pt idx="25">
                  <c:v>3599.6847227011845</c:v>
                </c:pt>
                <c:pt idx="26">
                  <c:v>3634.7649485460638</c:v>
                </c:pt>
                <c:pt idx="27">
                  <c:v>3660.2284077551353</c:v>
                </c:pt>
                <c:pt idx="28">
                  <c:v>1408.1646012357028</c:v>
                </c:pt>
                <c:pt idx="29">
                  <c:v>230.30541568254287</c:v>
                </c:pt>
                <c:pt idx="30">
                  <c:v>47.596419793442266</c:v>
                </c:pt>
                <c:pt idx="31">
                  <c:v>32.367403737471228</c:v>
                </c:pt>
              </c:numCache>
            </c:numRef>
          </c:yVal>
        </c:ser>
        <c:ser>
          <c:idx val="1"/>
          <c:order val="1"/>
          <c:tx>
            <c:v>T=+50</c:v>
          </c:tx>
          <c:marker>
            <c:symbol val="none"/>
          </c:marker>
          <c:xVal>
            <c:numRef>
              <c:f>'Заряд 3 - var T'!$M$224:$M$255</c:f>
              <c:numCache>
                <c:formatCode>General</c:formatCode>
                <c:ptCount val="32"/>
                <c:pt idx="0">
                  <c:v>0</c:v>
                </c:pt>
                <c:pt idx="1">
                  <c:v>1.6610400000000001E-2</c:v>
                </c:pt>
                <c:pt idx="2">
                  <c:v>6.5057400000000001E-2</c:v>
                </c:pt>
                <c:pt idx="3">
                  <c:v>7.5438900000000003E-2</c:v>
                </c:pt>
                <c:pt idx="4">
                  <c:v>0.19994000000000001</c:v>
                </c:pt>
                <c:pt idx="5">
                  <c:v>0.29514220000000002</c:v>
                </c:pt>
                <c:pt idx="6">
                  <c:v>0.39988000000000001</c:v>
                </c:pt>
                <c:pt idx="7">
                  <c:v>0.50169559999999991</c:v>
                </c:pt>
                <c:pt idx="8">
                  <c:v>0.59982000000000002</c:v>
                </c:pt>
                <c:pt idx="9">
                  <c:v>0.66941449999999991</c:v>
                </c:pt>
                <c:pt idx="10">
                  <c:v>0.79976000000000003</c:v>
                </c:pt>
                <c:pt idx="11">
                  <c:v>0.90995769999999998</c:v>
                </c:pt>
                <c:pt idx="12">
                  <c:v>0.99969999999999992</c:v>
                </c:pt>
                <c:pt idx="13">
                  <c:v>1.0728857299999999</c:v>
                </c:pt>
                <c:pt idx="14">
                  <c:v>1.19964</c:v>
                </c:pt>
                <c:pt idx="15">
                  <c:v>1.2326301</c:v>
                </c:pt>
                <c:pt idx="16">
                  <c:v>1.39958</c:v>
                </c:pt>
                <c:pt idx="17">
                  <c:v>1.5306945000000001</c:v>
                </c:pt>
                <c:pt idx="18">
                  <c:v>1.5995200000000001</c:v>
                </c:pt>
                <c:pt idx="19">
                  <c:v>1.6924459599999999</c:v>
                </c:pt>
                <c:pt idx="20">
                  <c:v>1.7994600000000001</c:v>
                </c:pt>
                <c:pt idx="21">
                  <c:v>1.8890484999999999</c:v>
                </c:pt>
                <c:pt idx="22">
                  <c:v>1.9993999999999998</c:v>
                </c:pt>
                <c:pt idx="23">
                  <c:v>2.1024613799999998</c:v>
                </c:pt>
                <c:pt idx="24">
                  <c:v>2.4912600899999999</c:v>
                </c:pt>
                <c:pt idx="25">
                  <c:v>2.8674933400000002</c:v>
                </c:pt>
                <c:pt idx="26">
                  <c:v>2.9990999999999999</c:v>
                </c:pt>
                <c:pt idx="27">
                  <c:v>3.1154497000000001</c:v>
                </c:pt>
                <c:pt idx="28">
                  <c:v>3.3127674099999997</c:v>
                </c:pt>
                <c:pt idx="29">
                  <c:v>3.4771873000000002</c:v>
                </c:pt>
                <c:pt idx="30">
                  <c:v>3.6645926000000002</c:v>
                </c:pt>
                <c:pt idx="31">
                  <c:v>3.9987999999999997</c:v>
                </c:pt>
              </c:numCache>
            </c:numRef>
          </c:xVal>
          <c:yVal>
            <c:numRef>
              <c:f>'Заряд 3 - var T'!$L$224:$L$255</c:f>
              <c:numCache>
                <c:formatCode>General</c:formatCode>
                <c:ptCount val="32"/>
                <c:pt idx="0">
                  <c:v>41.40274905596474</c:v>
                </c:pt>
                <c:pt idx="1">
                  <c:v>163.4460963082866</c:v>
                </c:pt>
                <c:pt idx="2">
                  <c:v>671.91934630828621</c:v>
                </c:pt>
                <c:pt idx="3">
                  <c:v>1075.4438697457865</c:v>
                </c:pt>
                <c:pt idx="4">
                  <c:v>1092.6657369332872</c:v>
                </c:pt>
                <c:pt idx="5">
                  <c:v>1110.4584947457872</c:v>
                </c:pt>
                <c:pt idx="6">
                  <c:v>1133.9601588082865</c:v>
                </c:pt>
                <c:pt idx="7">
                  <c:v>1161.553205683286</c:v>
                </c:pt>
                <c:pt idx="8">
                  <c:v>1199.9931744332862</c:v>
                </c:pt>
                <c:pt idx="9">
                  <c:v>1238.5282916207877</c:v>
                </c:pt>
                <c:pt idx="10">
                  <c:v>1333.6767291207861</c:v>
                </c:pt>
                <c:pt idx="11">
                  <c:v>1436.4370416207846</c:v>
                </c:pt>
                <c:pt idx="12">
                  <c:v>1542.0518072457876</c:v>
                </c:pt>
                <c:pt idx="13">
                  <c:v>1634.3457916207874</c:v>
                </c:pt>
                <c:pt idx="14">
                  <c:v>1792.7679400582863</c:v>
                </c:pt>
                <c:pt idx="15">
                  <c:v>1832.2545416207865</c:v>
                </c:pt>
                <c:pt idx="16">
                  <c:v>2030.1632916207891</c:v>
                </c:pt>
                <c:pt idx="17">
                  <c:v>2228.0720416207887</c:v>
                </c:pt>
                <c:pt idx="18">
                  <c:v>2345.8658072457888</c:v>
                </c:pt>
                <c:pt idx="19">
                  <c:v>2514.2785416207839</c:v>
                </c:pt>
                <c:pt idx="20">
                  <c:v>2727.0304478707858</c:v>
                </c:pt>
                <c:pt idx="21">
                  <c:v>2932.8365181832837</c:v>
                </c:pt>
                <c:pt idx="22">
                  <c:v>3261.0034791207836</c:v>
                </c:pt>
                <c:pt idx="23">
                  <c:v>3958.9172681832915</c:v>
                </c:pt>
                <c:pt idx="24">
                  <c:v>4108.776057245781</c:v>
                </c:pt>
                <c:pt idx="25">
                  <c:v>4246.8364400582823</c:v>
                </c:pt>
                <c:pt idx="26">
                  <c:v>4285.6570025582787</c:v>
                </c:pt>
                <c:pt idx="27">
                  <c:v>4313.8209400582809</c:v>
                </c:pt>
                <c:pt idx="28">
                  <c:v>1760.417471308285</c:v>
                </c:pt>
                <c:pt idx="29">
                  <c:v>321.96339318328626</c:v>
                </c:pt>
                <c:pt idx="30">
                  <c:v>73.340525995786507</c:v>
                </c:pt>
                <c:pt idx="31">
                  <c:v>51.075791620786532</c:v>
                </c:pt>
              </c:numCache>
            </c:numRef>
          </c:yVal>
        </c:ser>
        <c:axId val="81194368"/>
        <c:axId val="86468096"/>
      </c:scatterChart>
      <c:valAx>
        <c:axId val="81194368"/>
        <c:scaling>
          <c:orientation val="minMax"/>
        </c:scaling>
        <c:axPos val="b"/>
        <c:title/>
        <c:numFmt formatCode="General" sourceLinked="1"/>
        <c:majorTickMark val="none"/>
        <c:tickLblPos val="nextTo"/>
        <c:crossAx val="86468096"/>
        <c:crosses val="autoZero"/>
        <c:crossBetween val="midCat"/>
      </c:valAx>
      <c:valAx>
        <c:axId val="86468096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811943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S </a:t>
            </a:r>
            <a:r>
              <a:rPr lang="ru-RU"/>
              <a:t> состав 1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'Заряд 3 - var T'!$F$223</c:f>
              <c:strCache>
                <c:ptCount val="1"/>
                <c:pt idx="0">
                  <c:v>S РДГ-1</c:v>
                </c:pt>
              </c:strCache>
            </c:strRef>
          </c:tx>
          <c:marker>
            <c:symbol val="none"/>
          </c:marker>
          <c:xVal>
            <c:numRef>
              <c:f>'Заряд 3 - var T'!$C$224:$C$255</c:f>
              <c:numCache>
                <c:formatCode>General</c:formatCode>
                <c:ptCount val="32"/>
                <c:pt idx="0">
                  <c:v>0</c:v>
                </c:pt>
                <c:pt idx="1">
                  <c:v>1.6610400000000001E-2</c:v>
                </c:pt>
                <c:pt idx="2">
                  <c:v>6.5057400000000001E-2</c:v>
                </c:pt>
                <c:pt idx="3">
                  <c:v>7.5438900000000003E-2</c:v>
                </c:pt>
                <c:pt idx="4">
                  <c:v>0.19994000000000001</c:v>
                </c:pt>
                <c:pt idx="5">
                  <c:v>0.29514220000000002</c:v>
                </c:pt>
                <c:pt idx="6">
                  <c:v>0.39988000000000001</c:v>
                </c:pt>
                <c:pt idx="7">
                  <c:v>0.50169559999999991</c:v>
                </c:pt>
                <c:pt idx="8">
                  <c:v>0.59982000000000002</c:v>
                </c:pt>
                <c:pt idx="9">
                  <c:v>0.66941449999999991</c:v>
                </c:pt>
                <c:pt idx="10">
                  <c:v>0.79976000000000003</c:v>
                </c:pt>
                <c:pt idx="11">
                  <c:v>0.90995769999999998</c:v>
                </c:pt>
                <c:pt idx="12">
                  <c:v>0.99969999999999992</c:v>
                </c:pt>
                <c:pt idx="13">
                  <c:v>1.0728857299999999</c:v>
                </c:pt>
                <c:pt idx="14">
                  <c:v>1.19964</c:v>
                </c:pt>
                <c:pt idx="15">
                  <c:v>1.2326301</c:v>
                </c:pt>
                <c:pt idx="16">
                  <c:v>1.39958</c:v>
                </c:pt>
                <c:pt idx="17">
                  <c:v>1.5306945000000001</c:v>
                </c:pt>
                <c:pt idx="18">
                  <c:v>1.5995200000000001</c:v>
                </c:pt>
                <c:pt idx="19">
                  <c:v>1.6924459599999999</c:v>
                </c:pt>
                <c:pt idx="20">
                  <c:v>1.7994600000000001</c:v>
                </c:pt>
                <c:pt idx="21">
                  <c:v>1.8890484999999999</c:v>
                </c:pt>
                <c:pt idx="22">
                  <c:v>1.9993999999999998</c:v>
                </c:pt>
                <c:pt idx="23">
                  <c:v>2.1024613799999998</c:v>
                </c:pt>
                <c:pt idx="24">
                  <c:v>2.4912600899999999</c:v>
                </c:pt>
                <c:pt idx="25">
                  <c:v>2.8674933400000002</c:v>
                </c:pt>
                <c:pt idx="26">
                  <c:v>2.9990999999999999</c:v>
                </c:pt>
                <c:pt idx="27">
                  <c:v>3.1154497000000001</c:v>
                </c:pt>
                <c:pt idx="28">
                  <c:v>3.3127674099999997</c:v>
                </c:pt>
                <c:pt idx="29">
                  <c:v>3.4771873000000002</c:v>
                </c:pt>
                <c:pt idx="30">
                  <c:v>3.6645926000000002</c:v>
                </c:pt>
                <c:pt idx="31">
                  <c:v>3.9987999999999997</c:v>
                </c:pt>
              </c:numCache>
            </c:numRef>
          </c:xVal>
          <c:yVal>
            <c:numRef>
              <c:f>'Заряд 3 - var T'!$F$224:$F$255</c:f>
              <c:numCache>
                <c:formatCode>General</c:formatCode>
                <c:ptCount val="32"/>
                <c:pt idx="0">
                  <c:v>23110.258869806003</c:v>
                </c:pt>
                <c:pt idx="1">
                  <c:v>70282.020662173236</c:v>
                </c:pt>
                <c:pt idx="2">
                  <c:v>220870.47066647327</c:v>
                </c:pt>
                <c:pt idx="3">
                  <c:v>323293.39708765445</c:v>
                </c:pt>
                <c:pt idx="4">
                  <c:v>327480.53523499658</c:v>
                </c:pt>
                <c:pt idx="5">
                  <c:v>331793.32594503934</c:v>
                </c:pt>
                <c:pt idx="6">
                  <c:v>337469.84538527252</c:v>
                </c:pt>
                <c:pt idx="7">
                  <c:v>344106.15000647749</c:v>
                </c:pt>
                <c:pt idx="8">
                  <c:v>353301.56825644081</c:v>
                </c:pt>
                <c:pt idx="9">
                  <c:v>362463.73469741578</c:v>
                </c:pt>
                <c:pt idx="10">
                  <c:v>384859.06441516714</c:v>
                </c:pt>
                <c:pt idx="11">
                  <c:v>408707.77258754335</c:v>
                </c:pt>
                <c:pt idx="12">
                  <c:v>432883.38290599582</c:v>
                </c:pt>
                <c:pt idx="13">
                  <c:v>453752.83512597735</c:v>
                </c:pt>
                <c:pt idx="14">
                  <c:v>489063.50313219632</c:v>
                </c:pt>
                <c:pt idx="15">
                  <c:v>497770.61497899191</c:v>
                </c:pt>
                <c:pt idx="16">
                  <c:v>540892.34742837923</c:v>
                </c:pt>
                <c:pt idx="17">
                  <c:v>583221.36558733333</c:v>
                </c:pt>
                <c:pt idx="18">
                  <c:v>608073.83059173462</c:v>
                </c:pt>
                <c:pt idx="19">
                  <c:v>643199.3457340952</c:v>
                </c:pt>
                <c:pt idx="20">
                  <c:v>686941.31620220502</c:v>
                </c:pt>
                <c:pt idx="21">
                  <c:v>728641.51301575429</c:v>
                </c:pt>
                <c:pt idx="22">
                  <c:v>794008.7158324864</c:v>
                </c:pt>
                <c:pt idx="23">
                  <c:v>929068.32022005774</c:v>
                </c:pt>
                <c:pt idx="24">
                  <c:v>957453.8459869856</c:v>
                </c:pt>
                <c:pt idx="25">
                  <c:v>983430.85382092767</c:v>
                </c:pt>
                <c:pt idx="26">
                  <c:v>990706.12504542083</c:v>
                </c:pt>
                <c:pt idx="27">
                  <c:v>995976.42471398436</c:v>
                </c:pt>
                <c:pt idx="28">
                  <c:v>481902.79459942284</c:v>
                </c:pt>
                <c:pt idx="29">
                  <c:v>121712.18506070077</c:v>
                </c:pt>
                <c:pt idx="30">
                  <c:v>36723.126049883409</c:v>
                </c:pt>
                <c:pt idx="31">
                  <c:v>27394.623109645883</c:v>
                </c:pt>
              </c:numCache>
            </c:numRef>
          </c:yVal>
        </c:ser>
        <c:axId val="86480384"/>
        <c:axId val="86481920"/>
      </c:scatterChart>
      <c:valAx>
        <c:axId val="86480384"/>
        <c:scaling>
          <c:orientation val="minMax"/>
        </c:scaling>
        <c:axPos val="b"/>
        <c:numFmt formatCode="General" sourceLinked="1"/>
        <c:majorTickMark val="none"/>
        <c:tickLblPos val="nextTo"/>
        <c:crossAx val="86481920"/>
        <c:crosses val="autoZero"/>
        <c:crossBetween val="midCat"/>
      </c:valAx>
      <c:valAx>
        <c:axId val="86481920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864803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Тяга РДТТ в</a:t>
            </a:r>
            <a:r>
              <a:rPr lang="ru-RU" baseline="0"/>
              <a:t> кГс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Заряд 1 - канальный</c:v>
          </c:tx>
          <c:marker>
            <c:symbol val="none"/>
          </c:marker>
          <c:cat>
            <c:numRef>
              <c:f>ВБП!$B$36:$B$59</c:f>
              <c:numCache>
                <c:formatCode>General</c:formatCode>
                <c:ptCount val="2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</c:numCache>
            </c:numRef>
          </c:cat>
          <c:val>
            <c:numRef>
              <c:f>ВБП!$H$3:$H$26</c:f>
              <c:numCache>
                <c:formatCode>General</c:formatCode>
                <c:ptCount val="24"/>
                <c:pt idx="0">
                  <c:v>0</c:v>
                </c:pt>
                <c:pt idx="1">
                  <c:v>392.14477468087932</c:v>
                </c:pt>
                <c:pt idx="2">
                  <c:v>460.11675579009005</c:v>
                </c:pt>
                <c:pt idx="3">
                  <c:v>531.27256139197448</c:v>
                </c:pt>
                <c:pt idx="4">
                  <c:v>602.63890026723789</c:v>
                </c:pt>
                <c:pt idx="5">
                  <c:v>675.25404673647927</c:v>
                </c:pt>
                <c:pt idx="6">
                  <c:v>749.13642802434504</c:v>
                </c:pt>
                <c:pt idx="7">
                  <c:v>824.11827606620284</c:v>
                </c:pt>
                <c:pt idx="8">
                  <c:v>900.09433076794483</c:v>
                </c:pt>
                <c:pt idx="9">
                  <c:v>977.14933019142291</c:v>
                </c:pt>
                <c:pt idx="10">
                  <c:v>1055.2630241561535</c:v>
                </c:pt>
                <c:pt idx="11">
                  <c:v>1133.5457035626512</c:v>
                </c:pt>
                <c:pt idx="12">
                  <c:v>1210.1094422294559</c:v>
                </c:pt>
                <c:pt idx="13">
                  <c:v>1285.0219813058045</c:v>
                </c:pt>
                <c:pt idx="14">
                  <c:v>1354.9413058685695</c:v>
                </c:pt>
                <c:pt idx="15">
                  <c:v>1411.222100398149</c:v>
                </c:pt>
                <c:pt idx="16">
                  <c:v>1467.6890480748596</c:v>
                </c:pt>
                <c:pt idx="17">
                  <c:v>1527.86734759262</c:v>
                </c:pt>
                <c:pt idx="18">
                  <c:v>1589.5659606412698</c:v>
                </c:pt>
                <c:pt idx="19">
                  <c:v>1535.4904960928586</c:v>
                </c:pt>
                <c:pt idx="20">
                  <c:v>1588.1653623685365</c:v>
                </c:pt>
                <c:pt idx="21">
                  <c:v>1643.3201117461774</c:v>
                </c:pt>
                <c:pt idx="22">
                  <c:v>1059.9244600178481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v>Заряд 2 - канальный с компенсатором</c:v>
          </c:tx>
          <c:marker>
            <c:symbol val="none"/>
          </c:marker>
          <c:val>
            <c:numRef>
              <c:f>ВБП!$H$36:$H$59</c:f>
              <c:numCache>
                <c:formatCode>General</c:formatCode>
                <c:ptCount val="24"/>
                <c:pt idx="0">
                  <c:v>0</c:v>
                </c:pt>
                <c:pt idx="1">
                  <c:v>395.9631534660686</c:v>
                </c:pt>
                <c:pt idx="2">
                  <c:v>464.90838056883155</c:v>
                </c:pt>
                <c:pt idx="3">
                  <c:v>535.24048309600903</c:v>
                </c:pt>
                <c:pt idx="4">
                  <c:v>606.70477091906582</c:v>
                </c:pt>
                <c:pt idx="5">
                  <c:v>679.54490657583199</c:v>
                </c:pt>
                <c:pt idx="6">
                  <c:v>753.60739942520524</c:v>
                </c:pt>
                <c:pt idx="7">
                  <c:v>828.77276130162818</c:v>
                </c:pt>
                <c:pt idx="8">
                  <c:v>904.93614853027134</c:v>
                </c:pt>
                <c:pt idx="9">
                  <c:v>982.17755700168721</c:v>
                </c:pt>
                <c:pt idx="10">
                  <c:v>1060.478387760405</c:v>
                </c:pt>
                <c:pt idx="11">
                  <c:v>1138.9468823197953</c:v>
                </c:pt>
                <c:pt idx="12">
                  <c:v>1215.6930747011836</c:v>
                </c:pt>
                <c:pt idx="13">
                  <c:v>1290.7841830005236</c:v>
                </c:pt>
                <c:pt idx="14">
                  <c:v>1361.2997762430289</c:v>
                </c:pt>
                <c:pt idx="15">
                  <c:v>1417.1495168908334</c:v>
                </c:pt>
                <c:pt idx="16">
                  <c:v>1473.2668913201178</c:v>
                </c:pt>
                <c:pt idx="17">
                  <c:v>1481.6649741758997</c:v>
                </c:pt>
                <c:pt idx="18">
                  <c:v>1519.9892413173168</c:v>
                </c:pt>
                <c:pt idx="19">
                  <c:v>1535.4904960928586</c:v>
                </c:pt>
                <c:pt idx="20">
                  <c:v>1588.1653623685365</c:v>
                </c:pt>
                <c:pt idx="21">
                  <c:v>1643.3201117461774</c:v>
                </c:pt>
                <c:pt idx="22">
                  <c:v>1059.9252177528731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v>Заряд 3 - комбинированный</c:v>
          </c:tx>
          <c:marker>
            <c:symbol val="none"/>
          </c:marker>
          <c:val>
            <c:numRef>
              <c:f>ВБП!$H$65:$H$87</c:f>
              <c:numCache>
                <c:formatCode>General</c:formatCode>
                <c:ptCount val="23"/>
                <c:pt idx="0">
                  <c:v>0</c:v>
                </c:pt>
                <c:pt idx="1">
                  <c:v>663.31053626141102</c:v>
                </c:pt>
                <c:pt idx="2">
                  <c:v>710.29551605526046</c:v>
                </c:pt>
                <c:pt idx="3">
                  <c:v>806.5387338646716</c:v>
                </c:pt>
                <c:pt idx="4">
                  <c:v>877.34676808201232</c:v>
                </c:pt>
                <c:pt idx="5">
                  <c:v>939.11880203439512</c:v>
                </c:pt>
                <c:pt idx="6">
                  <c:v>1010.2027196635217</c:v>
                </c:pt>
                <c:pt idx="7">
                  <c:v>1083.3825032594957</c:v>
                </c:pt>
                <c:pt idx="8">
                  <c:v>1152.1177987777019</c:v>
                </c:pt>
                <c:pt idx="9">
                  <c:v>1216.0859223629175</c:v>
                </c:pt>
                <c:pt idx="10">
                  <c:v>1275.9215167705495</c:v>
                </c:pt>
                <c:pt idx="11">
                  <c:v>1341.6767987059084</c:v>
                </c:pt>
                <c:pt idx="12">
                  <c:v>1409.6859110534733</c:v>
                </c:pt>
                <c:pt idx="13">
                  <c:v>1479.0074264664311</c:v>
                </c:pt>
                <c:pt idx="14">
                  <c:v>1455.5661953233543</c:v>
                </c:pt>
                <c:pt idx="15">
                  <c:v>1497.9337611861881</c:v>
                </c:pt>
                <c:pt idx="16">
                  <c:v>1448.2084127802525</c:v>
                </c:pt>
                <c:pt idx="17">
                  <c:v>1480.4085229861089</c:v>
                </c:pt>
                <c:pt idx="18">
                  <c:v>1511.0410525910856</c:v>
                </c:pt>
                <c:pt idx="19">
                  <c:v>1284.5520868687843</c:v>
                </c:pt>
                <c:pt idx="20">
                  <c:v>537.12693329754666</c:v>
                </c:pt>
                <c:pt idx="21">
                  <c:v>58.088638072875732</c:v>
                </c:pt>
                <c:pt idx="22">
                  <c:v>0</c:v>
                </c:pt>
              </c:numCache>
            </c:numRef>
          </c:val>
        </c:ser>
        <c:marker val="1"/>
        <c:axId val="73057792"/>
        <c:axId val="73059328"/>
      </c:lineChart>
      <c:catAx>
        <c:axId val="73057792"/>
        <c:scaling>
          <c:orientation val="minMax"/>
        </c:scaling>
        <c:axPos val="b"/>
        <c:majorGridlines/>
        <c:minorGridlines/>
        <c:numFmt formatCode="General" sourceLinked="1"/>
        <c:majorTickMark val="none"/>
        <c:tickLblPos val="nextTo"/>
        <c:spPr>
          <a:ln w="19050"/>
        </c:spPr>
        <c:crossAx val="73059328"/>
        <c:crosses val="autoZero"/>
        <c:auto val="1"/>
        <c:lblAlgn val="ctr"/>
        <c:lblOffset val="100"/>
      </c:catAx>
      <c:valAx>
        <c:axId val="73059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Тяга </a:t>
                </a:r>
                <a:r>
                  <a:rPr lang="en-US"/>
                  <a:t>R</a:t>
                </a:r>
                <a:r>
                  <a:rPr lang="ru-RU"/>
                  <a:t>,</a:t>
                </a:r>
                <a:r>
                  <a:rPr lang="ru-RU" baseline="0"/>
                  <a:t> кГс</a:t>
                </a:r>
                <a:endParaRPr lang="ru-RU"/>
              </a:p>
            </c:rich>
          </c:tx>
        </c:title>
        <c:numFmt formatCode="General" sourceLinked="1"/>
        <c:majorTickMark val="none"/>
        <c:tickLblPos val="nextTo"/>
        <c:crossAx val="73057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S </a:t>
            </a:r>
            <a:r>
              <a:rPr lang="ru-RU"/>
              <a:t> состав 2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РДГ-3</c:v>
          </c:tx>
          <c:marker>
            <c:symbol val="none"/>
          </c:marker>
          <c:xVal>
            <c:numRef>
              <c:f>'Заряд 3 - var T'!$P$275:$P$306</c:f>
              <c:numCache>
                <c:formatCode>General</c:formatCode>
                <c:ptCount val="32"/>
                <c:pt idx="0">
                  <c:v>0</c:v>
                </c:pt>
                <c:pt idx="1">
                  <c:v>0.151998144282737</c:v>
                </c:pt>
                <c:pt idx="2">
                  <c:v>0.81688041692197988</c:v>
                </c:pt>
                <c:pt idx="3">
                  <c:v>0.9831666119309912</c:v>
                </c:pt>
                <c:pt idx="4">
                  <c:v>2.9880127739067399</c:v>
                </c:pt>
                <c:pt idx="5">
                  <c:v>4.5293862914589207</c:v>
                </c:pt>
                <c:pt idx="6">
                  <c:v>6.237115782064607</c:v>
                </c:pt>
                <c:pt idx="7">
                  <c:v>7.910678223143786</c:v>
                </c:pt>
                <c:pt idx="8">
                  <c:v>9.5413601394697967</c:v>
                </c:pt>
                <c:pt idx="9">
                  <c:v>10.710326902759888</c:v>
                </c:pt>
                <c:pt idx="10">
                  <c:v>12.955302672761473</c:v>
                </c:pt>
                <c:pt idx="11">
                  <c:v>14.901799737376228</c:v>
                </c:pt>
                <c:pt idx="12">
                  <c:v>16.525853279582964</c:v>
                </c:pt>
                <c:pt idx="13">
                  <c:v>17.876924168360542</c:v>
                </c:pt>
                <c:pt idx="14">
                  <c:v>20.292539832431554</c:v>
                </c:pt>
                <c:pt idx="15">
                  <c:v>20.92598629429235</c:v>
                </c:pt>
                <c:pt idx="16">
                  <c:v>24.247258913069672</c:v>
                </c:pt>
                <c:pt idx="17">
                  <c:v>26.941154263360438</c:v>
                </c:pt>
                <c:pt idx="18">
                  <c:v>28.380812441265817</c:v>
                </c:pt>
                <c:pt idx="19">
                  <c:v>30.37211908757644</c:v>
                </c:pt>
                <c:pt idx="20">
                  <c:v>32.731302497431692</c:v>
                </c:pt>
                <c:pt idx="21">
                  <c:v>34.757271724542221</c:v>
                </c:pt>
                <c:pt idx="22">
                  <c:v>37.347391328735661</c:v>
                </c:pt>
                <c:pt idx="23">
                  <c:v>39.937343138811897</c:v>
                </c:pt>
                <c:pt idx="24">
                  <c:v>49.836896100441479</c:v>
                </c:pt>
                <c:pt idx="25">
                  <c:v>59.52897916379127</c:v>
                </c:pt>
                <c:pt idx="26">
                  <c:v>62.930194185655566</c:v>
                </c:pt>
                <c:pt idx="27">
                  <c:v>65.944079477465124</c:v>
                </c:pt>
                <c:pt idx="28">
                  <c:v>69.680949286679407</c:v>
                </c:pt>
                <c:pt idx="29">
                  <c:v>71.482479546656734</c:v>
                </c:pt>
                <c:pt idx="30">
                  <c:v>72.935357550419042</c:v>
                </c:pt>
                <c:pt idx="31">
                  <c:v>75.384719760222097</c:v>
                </c:pt>
              </c:numCache>
            </c:numRef>
          </c:xVal>
          <c:yVal>
            <c:numRef>
              <c:f>'Заряд 3 - var T'!$F$275:$F$306</c:f>
              <c:numCache>
                <c:formatCode>General</c:formatCode>
                <c:ptCount val="32"/>
                <c:pt idx="0">
                  <c:v>42604.80282071454</c:v>
                </c:pt>
                <c:pt idx="1">
                  <c:v>63222.855020091374</c:v>
                </c:pt>
                <c:pt idx="2">
                  <c:v>129956.4864521219</c:v>
                </c:pt>
                <c:pt idx="3">
                  <c:v>171048.49071676025</c:v>
                </c:pt>
                <c:pt idx="4">
                  <c:v>172674.84424515543</c:v>
                </c:pt>
                <c:pt idx="5">
                  <c:v>174346.10991878086</c:v>
                </c:pt>
                <c:pt idx="6">
                  <c:v>176539.90116160788</c:v>
                </c:pt>
                <c:pt idx="7">
                  <c:v>179096.20038032872</c:v>
                </c:pt>
                <c:pt idx="8">
                  <c:v>182623.58013640731</c:v>
                </c:pt>
                <c:pt idx="9">
                  <c:v>186121.63474139853</c:v>
                </c:pt>
                <c:pt idx="10">
                  <c:v>194604.98599688892</c:v>
                </c:pt>
                <c:pt idx="11">
                  <c:v>203539.34661525005</c:v>
                </c:pt>
                <c:pt idx="12">
                  <c:v>212497.59503955825</c:v>
                </c:pt>
                <c:pt idx="13">
                  <c:v>220155.36471825794</c:v>
                </c:pt>
                <c:pt idx="14">
                  <c:v>232962.82619320898</c:v>
                </c:pt>
                <c:pt idx="15">
                  <c:v>236093.50404984836</c:v>
                </c:pt>
                <c:pt idx="16">
                  <c:v>251447.73858601437</c:v>
                </c:pt>
                <c:pt idx="17">
                  <c:v>266291.50288304343</c:v>
                </c:pt>
                <c:pt idx="18">
                  <c:v>274908.67720030993</c:v>
                </c:pt>
                <c:pt idx="19">
                  <c:v>286971.81552088883</c:v>
                </c:pt>
                <c:pt idx="20">
                  <c:v>301815.27543488558</c:v>
                </c:pt>
                <c:pt idx="21">
                  <c:v>315793.20969788538</c:v>
                </c:pt>
                <c:pt idx="22">
                  <c:v>337390.96775044757</c:v>
                </c:pt>
                <c:pt idx="23">
                  <c:v>380935.93604804686</c:v>
                </c:pt>
                <c:pt idx="24">
                  <c:v>389920.84803212457</c:v>
                </c:pt>
                <c:pt idx="25">
                  <c:v>398096.48340726865</c:v>
                </c:pt>
                <c:pt idx="26">
                  <c:v>400378.35875873588</c:v>
                </c:pt>
                <c:pt idx="27">
                  <c:v>402029.2677265192</c:v>
                </c:pt>
                <c:pt idx="28">
                  <c:v>230380.19258005751</c:v>
                </c:pt>
                <c:pt idx="29">
                  <c:v>87085.912140456305</c:v>
                </c:pt>
                <c:pt idx="30">
                  <c:v>47081.977909461319</c:v>
                </c:pt>
                <c:pt idx="31">
                  <c:v>42604.80282071454</c:v>
                </c:pt>
              </c:numCache>
            </c:numRef>
          </c:yVal>
        </c:ser>
        <c:axId val="86576128"/>
        <c:axId val="86586112"/>
      </c:scatterChart>
      <c:valAx>
        <c:axId val="86576128"/>
        <c:scaling>
          <c:orientation val="minMax"/>
        </c:scaling>
        <c:axPos val="b"/>
        <c:numFmt formatCode="General" sourceLinked="1"/>
        <c:majorTickMark val="none"/>
        <c:tickLblPos val="nextTo"/>
        <c:crossAx val="86586112"/>
        <c:crosses val="autoZero"/>
        <c:crossBetween val="midCat"/>
      </c:valAx>
      <c:valAx>
        <c:axId val="86586112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865761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R(t) </a:t>
            </a:r>
            <a:r>
              <a:rPr lang="ru-RU"/>
              <a:t>в кГс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T=-40</c:v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'Заряд 3 - var T'!$J$275:$J$306</c:f>
              <c:numCache>
                <c:formatCode>General</c:formatCode>
                <c:ptCount val="32"/>
                <c:pt idx="0">
                  <c:v>0</c:v>
                </c:pt>
                <c:pt idx="1">
                  <c:v>2.2882926308789863E-2</c:v>
                </c:pt>
                <c:pt idx="2">
                  <c:v>8.8442685841929269E-2</c:v>
                </c:pt>
                <c:pt idx="3">
                  <c:v>0.10239580212914848</c:v>
                </c:pt>
                <c:pt idx="4">
                  <c:v>0.26969057196529012</c:v>
                </c:pt>
                <c:pt idx="5">
                  <c:v>0.3975852314511138</c:v>
                </c:pt>
                <c:pt idx="6">
                  <c:v>0.53824638831178717</c:v>
                </c:pt>
                <c:pt idx="7">
                  <c:v>0.67493433320009366</c:v>
                </c:pt>
                <c:pt idx="8">
                  <c:v>0.80660311631932524</c:v>
                </c:pt>
                <c:pt idx="9">
                  <c:v>0.89994495713056555</c:v>
                </c:pt>
                <c:pt idx="10">
                  <c:v>1.0745743716080067</c:v>
                </c:pt>
                <c:pt idx="11">
                  <c:v>1.2220466511301766</c:v>
                </c:pt>
                <c:pt idx="12">
                  <c:v>1.3420162286117716</c:v>
                </c:pt>
                <c:pt idx="13">
                  <c:v>1.4397667340990836</c:v>
                </c:pt>
                <c:pt idx="14">
                  <c:v>1.6088287876250424</c:v>
                </c:pt>
                <c:pt idx="15">
                  <c:v>1.6528156909156728</c:v>
                </c:pt>
                <c:pt idx="16">
                  <c:v>1.8750684988720758</c:v>
                </c:pt>
                <c:pt idx="17">
                  <c:v>2.0493671473052788</c:v>
                </c:pt>
                <c:pt idx="18">
                  <c:v>2.1407889198130445</c:v>
                </c:pt>
                <c:pt idx="19">
                  <c:v>2.2640922337988165</c:v>
                </c:pt>
                <c:pt idx="20">
                  <c:v>2.4059115049155211</c:v>
                </c:pt>
                <c:pt idx="21">
                  <c:v>2.5245045214961883</c:v>
                </c:pt>
                <c:pt idx="22">
                  <c:v>2.6703431346356687</c:v>
                </c:pt>
                <c:pt idx="23">
                  <c:v>2.8061378083652144</c:v>
                </c:pt>
                <c:pt idx="24">
                  <c:v>3.3181266475193629</c:v>
                </c:pt>
                <c:pt idx="25">
                  <c:v>3.8133137717040224</c:v>
                </c:pt>
                <c:pt idx="26">
                  <c:v>3.9865060292157843</c:v>
                </c:pt>
                <c:pt idx="27">
                  <c:v>4.1396047462080867</c:v>
                </c:pt>
                <c:pt idx="28">
                  <c:v>4.402855537090093</c:v>
                </c:pt>
                <c:pt idx="29">
                  <c:v>4.6275728708383568</c:v>
                </c:pt>
                <c:pt idx="30">
                  <c:v>4.8876417730688138</c:v>
                </c:pt>
                <c:pt idx="31">
                  <c:v>5.3525839132949651</c:v>
                </c:pt>
              </c:numCache>
            </c:numRef>
          </c:xVal>
          <c:yVal>
            <c:numRef>
              <c:f>'Заряд 3 - var T'!$H$275:$H$306</c:f>
              <c:numCache>
                <c:formatCode>General</c:formatCode>
                <c:ptCount val="32"/>
                <c:pt idx="0">
                  <c:v>83.763944926855842</c:v>
                </c:pt>
                <c:pt idx="1">
                  <c:v>153.32051260175598</c:v>
                </c:pt>
                <c:pt idx="2">
                  <c:v>481.17718465794547</c:v>
                </c:pt>
                <c:pt idx="3">
                  <c:v>744.2244439327477</c:v>
                </c:pt>
                <c:pt idx="4">
                  <c:v>755.48781717814654</c:v>
                </c:pt>
                <c:pt idx="5">
                  <c:v>767.12731791618364</c:v>
                </c:pt>
                <c:pt idx="6">
                  <c:v>782.50564195066204</c:v>
                </c:pt>
                <c:pt idx="7">
                  <c:v>800.56718670658711</c:v>
                </c:pt>
                <c:pt idx="8">
                  <c:v>825.73937486432874</c:v>
                </c:pt>
                <c:pt idx="9">
                  <c:v>850.98591223449193</c:v>
                </c:pt>
                <c:pt idx="10">
                  <c:v>913.3725131340525</c:v>
                </c:pt>
                <c:pt idx="11">
                  <c:v>980.82483583835585</c:v>
                </c:pt>
                <c:pt idx="12">
                  <c:v>1050.2264573664654</c:v>
                </c:pt>
                <c:pt idx="13">
                  <c:v>1110.9336504211917</c:v>
                </c:pt>
                <c:pt idx="14">
                  <c:v>1215.2567783066729</c:v>
                </c:pt>
                <c:pt idx="15">
                  <c:v>1241.2815311984787</c:v>
                </c:pt>
                <c:pt idx="16">
                  <c:v>1371.8440247854742</c:v>
                </c:pt>
                <c:pt idx="17">
                  <c:v>1502.6012526951788</c:v>
                </c:pt>
                <c:pt idx="18">
                  <c:v>1580.5125102000447</c:v>
                </c:pt>
                <c:pt idx="19">
                  <c:v>1692.0078744524722</c:v>
                </c:pt>
                <c:pt idx="20">
                  <c:v>1833.0208958471469</c:v>
                </c:pt>
                <c:pt idx="21">
                  <c:v>1969.5919499267818</c:v>
                </c:pt>
                <c:pt idx="22">
                  <c:v>2187.6633575439669</c:v>
                </c:pt>
                <c:pt idx="23">
                  <c:v>2652.5320693889353</c:v>
                </c:pt>
                <c:pt idx="24">
                  <c:v>2752.5251643238771</c:v>
                </c:pt>
                <c:pt idx="25">
                  <c:v>2844.6961033173825</c:v>
                </c:pt>
                <c:pt idx="26">
                  <c:v>2870.6216985637725</c:v>
                </c:pt>
                <c:pt idx="27">
                  <c:v>2889.432755818927</c:v>
                </c:pt>
                <c:pt idx="28">
                  <c:v>1193.9417738486386</c:v>
                </c:pt>
                <c:pt idx="29">
                  <c:v>254.88980309063052</c:v>
                </c:pt>
                <c:pt idx="30">
                  <c:v>96.027286744393663</c:v>
                </c:pt>
                <c:pt idx="31">
                  <c:v>81.942989602358978</c:v>
                </c:pt>
              </c:numCache>
            </c:numRef>
          </c:yVal>
        </c:ser>
        <c:ser>
          <c:idx val="1"/>
          <c:order val="1"/>
          <c:tx>
            <c:v>T=+50</c:v>
          </c:tx>
          <c:spPr>
            <a:ln>
              <a:prstDash val="dashDot"/>
            </a:ln>
          </c:spPr>
          <c:marker>
            <c:symbol val="none"/>
          </c:marker>
          <c:xVal>
            <c:numRef>
              <c:f>'Заряд 3 - var T'!$M$275:$M$306</c:f>
              <c:numCache>
                <c:formatCode>General</c:formatCode>
                <c:ptCount val="32"/>
                <c:pt idx="0">
                  <c:v>0</c:v>
                </c:pt>
                <c:pt idx="1">
                  <c:v>1.6610400000000001E-2</c:v>
                </c:pt>
                <c:pt idx="2">
                  <c:v>6.5057400000000001E-2</c:v>
                </c:pt>
                <c:pt idx="3">
                  <c:v>7.5438900000000003E-2</c:v>
                </c:pt>
                <c:pt idx="4">
                  <c:v>0.19994000000000001</c:v>
                </c:pt>
                <c:pt idx="5">
                  <c:v>0.29514220000000002</c:v>
                </c:pt>
                <c:pt idx="6">
                  <c:v>0.39988000000000001</c:v>
                </c:pt>
                <c:pt idx="7">
                  <c:v>0.50169559999999991</c:v>
                </c:pt>
                <c:pt idx="8">
                  <c:v>0.59982000000000002</c:v>
                </c:pt>
                <c:pt idx="9">
                  <c:v>0.66941449999999991</c:v>
                </c:pt>
                <c:pt idx="10">
                  <c:v>0.79976000000000003</c:v>
                </c:pt>
                <c:pt idx="11">
                  <c:v>0.90995769999999998</c:v>
                </c:pt>
                <c:pt idx="12">
                  <c:v>0.99969999999999992</c:v>
                </c:pt>
                <c:pt idx="13">
                  <c:v>1.0728857299999999</c:v>
                </c:pt>
                <c:pt idx="14">
                  <c:v>1.19964</c:v>
                </c:pt>
                <c:pt idx="15">
                  <c:v>1.2326301</c:v>
                </c:pt>
                <c:pt idx="16">
                  <c:v>1.39958</c:v>
                </c:pt>
                <c:pt idx="17">
                  <c:v>1.5306945000000001</c:v>
                </c:pt>
                <c:pt idx="18">
                  <c:v>1.5995200000000001</c:v>
                </c:pt>
                <c:pt idx="19">
                  <c:v>1.6924459599999999</c:v>
                </c:pt>
                <c:pt idx="20">
                  <c:v>1.7994600000000001</c:v>
                </c:pt>
                <c:pt idx="21">
                  <c:v>1.8890484999999999</c:v>
                </c:pt>
                <c:pt idx="22">
                  <c:v>1.9993999999999998</c:v>
                </c:pt>
                <c:pt idx="23">
                  <c:v>2.1024613799999998</c:v>
                </c:pt>
                <c:pt idx="24">
                  <c:v>2.4912600899999999</c:v>
                </c:pt>
                <c:pt idx="25">
                  <c:v>2.8674933400000002</c:v>
                </c:pt>
                <c:pt idx="26">
                  <c:v>2.9990999999999999</c:v>
                </c:pt>
                <c:pt idx="27">
                  <c:v>3.1154497000000001</c:v>
                </c:pt>
                <c:pt idx="28">
                  <c:v>3.3127674099999997</c:v>
                </c:pt>
                <c:pt idx="29">
                  <c:v>3.4771873000000002</c:v>
                </c:pt>
                <c:pt idx="30">
                  <c:v>3.6645926000000002</c:v>
                </c:pt>
                <c:pt idx="31">
                  <c:v>3.9987999999999997</c:v>
                </c:pt>
              </c:numCache>
            </c:numRef>
          </c:xVal>
          <c:yVal>
            <c:numRef>
              <c:f>'Заряд 3 - var T'!$L$275:$L$306</c:f>
              <c:numCache>
                <c:formatCode>General</c:formatCode>
                <c:ptCount val="32"/>
                <c:pt idx="0">
                  <c:v>125.53298283141913</c:v>
                </c:pt>
                <c:pt idx="1">
                  <c:v>232.59203225400725</c:v>
                </c:pt>
                <c:pt idx="2">
                  <c:v>717.03196461159416</c:v>
                </c:pt>
                <c:pt idx="3">
                  <c:v>1101.4836399724745</c:v>
                </c:pt>
                <c:pt idx="4">
                  <c:v>1117.8915044479068</c:v>
                </c:pt>
                <c:pt idx="5">
                  <c:v>1134.8432760330272</c:v>
                </c:pt>
                <c:pt idx="6">
                  <c:v>1157.2341187149696</c:v>
                </c:pt>
                <c:pt idx="7">
                  <c:v>1183.5229623496482</c:v>
                </c:pt>
                <c:pt idx="8">
                  <c:v>1220.1460410682955</c:v>
                </c:pt>
                <c:pt idx="9">
                  <c:v>1256.8597709718952</c:v>
                </c:pt>
                <c:pt idx="10">
                  <c:v>1347.5109559190457</c:v>
                </c:pt>
                <c:pt idx="11">
                  <c:v>1445.4142356619759</c:v>
                </c:pt>
                <c:pt idx="12">
                  <c:v>1546.0370509533172</c:v>
                </c:pt>
                <c:pt idx="13">
                  <c:v>1633.9687003520505</c:v>
                </c:pt>
                <c:pt idx="14">
                  <c:v>1784.9029232890587</c:v>
                </c:pt>
                <c:pt idx="15">
                  <c:v>1822.5231650421274</c:v>
                </c:pt>
                <c:pt idx="16">
                  <c:v>2011.0776297322143</c:v>
                </c:pt>
                <c:pt idx="17">
                  <c:v>2199.6320944222857</c:v>
                </c:pt>
                <c:pt idx="18">
                  <c:v>2311.8582613868675</c:v>
                </c:pt>
                <c:pt idx="19">
                  <c:v>2472.3108587433267</c:v>
                </c:pt>
                <c:pt idx="20">
                  <c:v>2675.0069082851574</c:v>
                </c:pt>
                <c:pt idx="21">
                  <c:v>2871.0854213258481</c:v>
                </c:pt>
                <c:pt idx="22">
                  <c:v>3183.7413582085806</c:v>
                </c:pt>
                <c:pt idx="23">
                  <c:v>3848.6677997959564</c:v>
                </c:pt>
                <c:pt idx="24">
                  <c:v>3991.4434160877331</c:v>
                </c:pt>
                <c:pt idx="25">
                  <c:v>4122.9782854460345</c:v>
                </c:pt>
                <c:pt idx="26">
                  <c:v>4159.9639689044798</c:v>
                </c:pt>
                <c:pt idx="27">
                  <c:v>4186.796719648828</c:v>
                </c:pt>
                <c:pt idx="28">
                  <c:v>1754.0815204070295</c:v>
                </c:pt>
                <c:pt idx="29">
                  <c:v>383.61690637596575</c:v>
                </c:pt>
                <c:pt idx="30">
                  <c:v>146.74536010905322</c:v>
                </c:pt>
                <c:pt idx="31">
                  <c:v>125.53298283141913</c:v>
                </c:pt>
              </c:numCache>
            </c:numRef>
          </c:yVal>
        </c:ser>
        <c:ser>
          <c:idx val="2"/>
          <c:order val="2"/>
          <c:tx>
            <c:v>Номинал</c:v>
          </c:tx>
          <c:marker>
            <c:symbol val="none"/>
          </c:marker>
          <c:xVal>
            <c:numRef>
              <c:f>'Заряд 3 - var T'!$T$275:$T$306</c:f>
              <c:numCache>
                <c:formatCode>General</c:formatCode>
                <c:ptCount val="32"/>
                <c:pt idx="0">
                  <c:v>0</c:v>
                </c:pt>
                <c:pt idx="1">
                  <c:v>1.6661444359685161E-2</c:v>
                </c:pt>
                <c:pt idx="2">
                  <c:v>6.962698319312359E-2</c:v>
                </c:pt>
                <c:pt idx="3">
                  <c:v>8.135556051432577E-2</c:v>
                </c:pt>
                <c:pt idx="4">
                  <c:v>0.22217075972210751</c:v>
                </c:pt>
                <c:pt idx="5">
                  <c:v>0.32997186529177824</c:v>
                </c:pt>
                <c:pt idx="6">
                  <c:v>0.44874784701169618</c:v>
                </c:pt>
                <c:pt idx="7">
                  <c:v>0.56440848794616449</c:v>
                </c:pt>
                <c:pt idx="8">
                  <c:v>0.67613609417226295</c:v>
                </c:pt>
                <c:pt idx="9">
                  <c:v>0.75555850536395808</c:v>
                </c:pt>
                <c:pt idx="10">
                  <c:v>0.90510537860512363</c:v>
                </c:pt>
                <c:pt idx="11">
                  <c:v>1.032216449965438</c:v>
                </c:pt>
                <c:pt idx="12">
                  <c:v>1.1362667512842817</c:v>
                </c:pt>
                <c:pt idx="13">
                  <c:v>1.2214805402085489</c:v>
                </c:pt>
                <c:pt idx="14">
                  <c:v>1.3700674784271631</c:v>
                </c:pt>
                <c:pt idx="15">
                  <c:v>1.4088016658467326</c:v>
                </c:pt>
                <c:pt idx="16">
                  <c:v>1.6063015763134629</c:v>
                </c:pt>
                <c:pt idx="17">
                  <c:v>1.7624753560159061</c:v>
                </c:pt>
                <c:pt idx="18">
                  <c:v>1.8447677268276981</c:v>
                </c:pt>
                <c:pt idx="19">
                  <c:v>1.9564478795043501</c:v>
                </c:pt>
                <c:pt idx="20">
                  <c:v>2.0858367603463943</c:v>
                </c:pt>
                <c:pt idx="21">
                  <c:v>2.1947443110650648</c:v>
                </c:pt>
                <c:pt idx="22">
                  <c:v>2.3299569346711149</c:v>
                </c:pt>
                <c:pt idx="23">
                  <c:v>2.4580821876852395</c:v>
                </c:pt>
                <c:pt idx="24">
                  <c:v>2.9427826818637643</c:v>
                </c:pt>
                <c:pt idx="25">
                  <c:v>3.4129827942289346</c:v>
                </c:pt>
                <c:pt idx="26">
                  <c:v>3.5775715066031082</c:v>
                </c:pt>
                <c:pt idx="27">
                  <c:v>3.723151267246807</c:v>
                </c:pt>
                <c:pt idx="28">
                  <c:v>3.9541478476864582</c:v>
                </c:pt>
                <c:pt idx="29">
                  <c:v>4.1255064961208996</c:v>
                </c:pt>
                <c:pt idx="30">
                  <c:v>4.3069812813342372</c:v>
                </c:pt>
                <c:pt idx="31">
                  <c:v>4.6267711552717543</c:v>
                </c:pt>
              </c:numCache>
            </c:numRef>
          </c:xVal>
          <c:yVal>
            <c:numRef>
              <c:f>'Заряд 3 - var T'!$R$275:$R$306</c:f>
              <c:numCache>
                <c:formatCode>General</c:formatCode>
                <c:ptCount val="32"/>
                <c:pt idx="0">
                  <c:v>124.09933312022406</c:v>
                </c:pt>
                <c:pt idx="1">
                  <c:v>219.34235673842227</c:v>
                </c:pt>
                <c:pt idx="2">
                  <c:v>620.40063667880167</c:v>
                </c:pt>
                <c:pt idx="3">
                  <c:v>922.25931194295515</c:v>
                </c:pt>
                <c:pt idx="4">
                  <c:v>934.93955748257645</c:v>
                </c:pt>
                <c:pt idx="5">
                  <c:v>948.02520363201575</c:v>
                </c:pt>
                <c:pt idx="6">
                  <c:v>965.28659056378672</c:v>
                </c:pt>
                <c:pt idx="7">
                  <c:v>985.52045732195165</c:v>
                </c:pt>
                <c:pt idx="8">
                  <c:v>1013.6512502998687</c:v>
                </c:pt>
                <c:pt idx="9">
                  <c:v>1041.7869244728993</c:v>
                </c:pt>
                <c:pt idx="10">
                  <c:v>1110.9927772707936</c:v>
                </c:pt>
                <c:pt idx="11">
                  <c:v>1185.3366269837152</c:v>
                </c:pt>
                <c:pt idx="12">
                  <c:v>1261.3452529669812</c:v>
                </c:pt>
                <c:pt idx="13">
                  <c:v>1327.4570921166437</c:v>
                </c:pt>
                <c:pt idx="14">
                  <c:v>1440.3127055461603</c:v>
                </c:pt>
                <c:pt idx="15">
                  <c:v>1468.3259214665525</c:v>
                </c:pt>
                <c:pt idx="16">
                  <c:v>1608.0824858400003</c:v>
                </c:pt>
                <c:pt idx="17">
                  <c:v>1746.8389884553239</c:v>
                </c:pt>
                <c:pt idx="18">
                  <c:v>1828.9895830502051</c:v>
                </c:pt>
                <c:pt idx="19">
                  <c:v>1945.9172183448429</c:v>
                </c:pt>
                <c:pt idx="20">
                  <c:v>2092.8058410402355</c:v>
                </c:pt>
                <c:pt idx="21">
                  <c:v>2234.0897477677486</c:v>
                </c:pt>
                <c:pt idx="22">
                  <c:v>2457.8705622921748</c:v>
                </c:pt>
                <c:pt idx="23">
                  <c:v>2928.4099375018823</c:v>
                </c:pt>
                <c:pt idx="24">
                  <c:v>3028.5974901201148</c:v>
                </c:pt>
                <c:pt idx="25">
                  <c:v>3120.6547343171878</c:v>
                </c:pt>
                <c:pt idx="26">
                  <c:v>3146.4991394327044</c:v>
                </c:pt>
                <c:pt idx="27">
                  <c:v>3165.2379966014164</c:v>
                </c:pt>
                <c:pt idx="28">
                  <c:v>1417.3284836314795</c:v>
                </c:pt>
                <c:pt idx="29">
                  <c:v>348.18197798329697</c:v>
                </c:pt>
                <c:pt idx="30">
                  <c:v>143.34752383560848</c:v>
                </c:pt>
                <c:pt idx="31">
                  <c:v>124.09933312022406</c:v>
                </c:pt>
              </c:numCache>
            </c:numRef>
          </c:yVal>
        </c:ser>
        <c:axId val="86620800"/>
        <c:axId val="86508288"/>
      </c:scatterChart>
      <c:valAx>
        <c:axId val="86620800"/>
        <c:scaling>
          <c:orientation val="minMax"/>
        </c:scaling>
        <c:axPos val="b"/>
        <c:title/>
        <c:numFmt formatCode="General" sourceLinked="1"/>
        <c:majorTickMark val="none"/>
        <c:tickLblPos val="nextTo"/>
        <c:crossAx val="86508288"/>
        <c:crosses val="autoZero"/>
        <c:crossBetween val="midCat"/>
      </c:valAx>
      <c:valAx>
        <c:axId val="86508288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866208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p</a:t>
            </a:r>
            <a:r>
              <a:rPr lang="ru-RU" baseline="0"/>
              <a:t>(</a:t>
            </a:r>
            <a:r>
              <a:rPr lang="en-US" baseline="0"/>
              <a:t>t)</a:t>
            </a:r>
            <a:r>
              <a:rPr lang="ru-RU" baseline="0"/>
              <a:t> в МПа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T= -40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ВБП_Опыт!$J$4:$J$26</c:f>
              <c:numCache>
                <c:formatCode>0.000</c:formatCode>
                <c:ptCount val="23"/>
                <c:pt idx="0">
                  <c:v>0</c:v>
                </c:pt>
                <c:pt idx="1">
                  <c:v>0.27777777777777779</c:v>
                </c:pt>
                <c:pt idx="2">
                  <c:v>0.53507175287948583</c:v>
                </c:pt>
                <c:pt idx="3">
                  <c:v>0.77251144871969601</c:v>
                </c:pt>
                <c:pt idx="4">
                  <c:v>0.97686345691401488</c:v>
                </c:pt>
                <c:pt idx="5">
                  <c:v>1.1617657605256426</c:v>
                </c:pt>
                <c:pt idx="6">
                  <c:v>1.3322458637298797</c:v>
                </c:pt>
                <c:pt idx="7">
                  <c:v>1.4884580230273114</c:v>
                </c:pt>
                <c:pt idx="8">
                  <c:v>1.6320748902331919</c:v>
                </c:pt>
                <c:pt idx="9">
                  <c:v>1.7654264002879798</c:v>
                </c:pt>
                <c:pt idx="10">
                  <c:v>1.8903476201202867</c:v>
                </c:pt>
                <c:pt idx="11">
                  <c:v>2.0082096833372742</c:v>
                </c:pt>
                <c:pt idx="12">
                  <c:v>2.1191001290465237</c:v>
                </c:pt>
                <c:pt idx="13">
                  <c:v>2.2235217942356362</c:v>
                </c:pt>
                <c:pt idx="14">
                  <c:v>2.3220147980021664</c:v>
                </c:pt>
                <c:pt idx="15">
                  <c:v>2.4224436309651609</c:v>
                </c:pt>
                <c:pt idx="16">
                  <c:v>2.5194218948896454</c:v>
                </c:pt>
                <c:pt idx="17">
                  <c:v>2.6204724747654553</c:v>
                </c:pt>
                <c:pt idx="18">
                  <c:v>2.7188518928127472</c:v>
                </c:pt>
                <c:pt idx="19">
                  <c:v>2.8148054205274975</c:v>
                </c:pt>
                <c:pt idx="20">
                  <c:v>2.9317081325851482</c:v>
                </c:pt>
                <c:pt idx="21">
                  <c:v>3.2604419366098272</c:v>
                </c:pt>
                <c:pt idx="22">
                  <c:v>6.0089951390856786</c:v>
                </c:pt>
              </c:numCache>
            </c:numRef>
          </c:xVal>
          <c:yVal>
            <c:numRef>
              <c:f>ВБП_Опыт!$E$4:$E$26</c:f>
              <c:numCache>
                <c:formatCode>General</c:formatCode>
                <c:ptCount val="23"/>
                <c:pt idx="0">
                  <c:v>0</c:v>
                </c:pt>
                <c:pt idx="1">
                  <c:v>6.290150961673179</c:v>
                </c:pt>
                <c:pt idx="2">
                  <c:v>7.1861954967386374</c:v>
                </c:pt>
                <c:pt idx="3">
                  <c:v>9.2168525257587159</c:v>
                </c:pt>
                <c:pt idx="4">
                  <c:v>10.879696522670802</c:v>
                </c:pt>
                <c:pt idx="5">
                  <c:v>12.448166124332374</c:v>
                </c:pt>
                <c:pt idx="6">
                  <c:v>14.389821233342946</c:v>
                </c:pt>
                <c:pt idx="7">
                  <c:v>16.542519115763398</c:v>
                </c:pt>
                <c:pt idx="8">
                  <c:v>18.707414526087771</c:v>
                </c:pt>
                <c:pt idx="9">
                  <c:v>20.847219242279497</c:v>
                </c:pt>
                <c:pt idx="10">
                  <c:v>22.958435585880835</c:v>
                </c:pt>
                <c:pt idx="11">
                  <c:v>25.401297855797115</c:v>
                </c:pt>
                <c:pt idx="12">
                  <c:v>28.063725101644692</c:v>
                </c:pt>
                <c:pt idx="13">
                  <c:v>30.920289151157903</c:v>
                </c:pt>
                <c:pt idx="14">
                  <c:v>29.938169908749448</c:v>
                </c:pt>
                <c:pt idx="15">
                  <c:v>31.725321326325918</c:v>
                </c:pt>
                <c:pt idx="16">
                  <c:v>29.633309085114345</c:v>
                </c:pt>
                <c:pt idx="17">
                  <c:v>30.979514922627875</c:v>
                </c:pt>
                <c:pt idx="18">
                  <c:v>32.289169425000203</c:v>
                </c:pt>
                <c:pt idx="19">
                  <c:v>23.271727039659929</c:v>
                </c:pt>
                <c:pt idx="20">
                  <c:v>4.189725131626501</c:v>
                </c:pt>
                <c:pt idx="21">
                  <c:v>0.12380356659143382</c:v>
                </c:pt>
                <c:pt idx="2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T= 20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ВБП_Опыт!$R$4:$R$26</c:f>
              <c:numCache>
                <c:formatCode>0.000</c:formatCode>
                <c:ptCount val="23"/>
                <c:pt idx="0">
                  <c:v>0</c:v>
                </c:pt>
                <c:pt idx="1">
                  <c:v>0.20833333333333334</c:v>
                </c:pt>
                <c:pt idx="2">
                  <c:v>0.41128278463014672</c:v>
                </c:pt>
                <c:pt idx="3">
                  <c:v>0.59838167053907687</c:v>
                </c:pt>
                <c:pt idx="4">
                  <c:v>0.75910310966068262</c:v>
                </c:pt>
                <c:pt idx="5">
                  <c:v>0.90434394601783907</c:v>
                </c:pt>
                <c:pt idx="6">
                  <c:v>1.0381188889020929</c:v>
                </c:pt>
                <c:pt idx="7">
                  <c:v>1.1605626313934083</c:v>
                </c:pt>
                <c:pt idx="8">
                  <c:v>1.2730143757624812</c:v>
                </c:pt>
                <c:pt idx="9">
                  <c:v>1.377330632448786</c:v>
                </c:pt>
                <c:pt idx="10">
                  <c:v>1.4749716154620638</c:v>
                </c:pt>
                <c:pt idx="11">
                  <c:v>1.5670273769721599</c:v>
                </c:pt>
                <c:pt idx="12">
                  <c:v>1.6535713237634175</c:v>
                </c:pt>
                <c:pt idx="13">
                  <c:v>1.7350049112618093</c:v>
                </c:pt>
                <c:pt idx="14">
                  <c:v>1.811758340942565</c:v>
                </c:pt>
                <c:pt idx="15">
                  <c:v>1.8900395568284716</c:v>
                </c:pt>
                <c:pt idx="16">
                  <c:v>1.9655977945361234</c:v>
                </c:pt>
                <c:pt idx="17">
                  <c:v>2.0443697819074473</c:v>
                </c:pt>
                <c:pt idx="18">
                  <c:v>2.1210335796940409</c:v>
                </c:pt>
                <c:pt idx="19">
                  <c:v>2.1957833918742864</c:v>
                </c:pt>
                <c:pt idx="20">
                  <c:v>2.2870804329897414</c:v>
                </c:pt>
                <c:pt idx="21">
                  <c:v>2.5471840265707737</c:v>
                </c:pt>
                <c:pt idx="22">
                  <c:v>4.7810222164831151</c:v>
                </c:pt>
              </c:numCache>
            </c:numRef>
          </c:xVal>
          <c:yVal>
            <c:numRef>
              <c:f>ВБП_Опыт!$M$4:$M$26</c:f>
              <c:numCache>
                <c:formatCode>General</c:formatCode>
                <c:ptCount val="23"/>
                <c:pt idx="0">
                  <c:v>0</c:v>
                </c:pt>
                <c:pt idx="1">
                  <c:v>8.0308689270780675</c:v>
                </c:pt>
                <c:pt idx="2">
                  <c:v>9.1841905901923173</c:v>
                </c:pt>
                <c:pt idx="3">
                  <c:v>11.801778791354113</c:v>
                </c:pt>
                <c:pt idx="4">
                  <c:v>13.948583165602695</c:v>
                </c:pt>
                <c:pt idx="5">
                  <c:v>15.975852232429455</c:v>
                </c:pt>
                <c:pt idx="6">
                  <c:v>18.488146464779909</c:v>
                </c:pt>
                <c:pt idx="7">
                  <c:v>21.276521741887901</c:v>
                </c:pt>
                <c:pt idx="8">
                  <c:v>24.083491409162718</c:v>
                </c:pt>
                <c:pt idx="9">
                  <c:v>26.860366927348053</c:v>
                </c:pt>
                <c:pt idx="10">
                  <c:v>29.602275066191442</c:v>
                </c:pt>
                <c:pt idx="11">
                  <c:v>32.777292225118515</c:v>
                </c:pt>
                <c:pt idx="12">
                  <c:v>36.240326223217068</c:v>
                </c:pt>
                <c:pt idx="13">
                  <c:v>39.958655988703995</c:v>
                </c:pt>
                <c:pt idx="14">
                  <c:v>38.679943962106584</c:v>
                </c:pt>
                <c:pt idx="15">
                  <c:v>41.007033094964299</c:v>
                </c:pt>
                <c:pt idx="16">
                  <c:v>38.283081888742856</c:v>
                </c:pt>
                <c:pt idx="17">
                  <c:v>40.035777494778621</c:v>
                </c:pt>
                <c:pt idx="18">
                  <c:v>41.741442006207166</c:v>
                </c:pt>
                <c:pt idx="19">
                  <c:v>30.009325378231207</c:v>
                </c:pt>
                <c:pt idx="20">
                  <c:v>5.3326524360115615</c:v>
                </c:pt>
                <c:pt idx="21">
                  <c:v>0.15340705286095441</c:v>
                </c:pt>
                <c:pt idx="2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T= 50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ВБП_Опыт!$Z$4:$Z$26</c:f>
              <c:numCache>
                <c:formatCode>0.000</c:formatCode>
                <c:ptCount val="23"/>
                <c:pt idx="0">
                  <c:v>0</c:v>
                </c:pt>
                <c:pt idx="1">
                  <c:v>0.19230769230769232</c:v>
                </c:pt>
                <c:pt idx="2">
                  <c:v>0.37383751963120049</c:v>
                </c:pt>
                <c:pt idx="3">
                  <c:v>0.54078396796297978</c:v>
                </c:pt>
                <c:pt idx="4">
                  <c:v>0.68354507554773059</c:v>
                </c:pt>
                <c:pt idx="5">
                  <c:v>0.81216610263253697</c:v>
                </c:pt>
                <c:pt idx="6">
                  <c:v>0.93034284600113581</c:v>
                </c:pt>
                <c:pt idx="7">
                  <c:v>1.0382242371824311</c:v>
                </c:pt>
                <c:pt idx="8">
                  <c:v>1.1370505629386591</c:v>
                </c:pt>
                <c:pt idx="9">
                  <c:v>1.2285218899936383</c:v>
                </c:pt>
                <c:pt idx="10">
                  <c:v>1.3139710701071601</c:v>
                </c:pt>
                <c:pt idx="11">
                  <c:v>1.3943909067455749</c:v>
                </c:pt>
                <c:pt idx="12">
                  <c:v>1.4698564247725889</c:v>
                </c:pt>
                <c:pt idx="13">
                  <c:v>1.5407368727345905</c:v>
                </c:pt>
                <c:pt idx="14">
                  <c:v>1.6074257509272818</c:v>
                </c:pt>
                <c:pt idx="15">
                  <c:v>1.6754821044003712</c:v>
                </c:pt>
                <c:pt idx="16">
                  <c:v>1.7411017678343581</c:v>
                </c:pt>
                <c:pt idx="17">
                  <c:v>1.8095975658665053</c:v>
                </c:pt>
                <c:pt idx="18">
                  <c:v>1.8762062423302148</c:v>
                </c:pt>
                <c:pt idx="19">
                  <c:v>1.9411029766576946</c:v>
                </c:pt>
                <c:pt idx="20">
                  <c:v>2.0208402962363046</c:v>
                </c:pt>
                <c:pt idx="21">
                  <c:v>2.2552215291914179</c:v>
                </c:pt>
                <c:pt idx="22">
                  <c:v>4.4015854044064806</c:v>
                </c:pt>
              </c:numCache>
            </c:numRef>
          </c:xVal>
          <c:yVal>
            <c:numRef>
              <c:f>ВБП_Опыт!$U$4:$U$26</c:f>
              <c:numCache>
                <c:formatCode>General</c:formatCode>
                <c:ptCount val="23"/>
                <c:pt idx="0">
                  <c:v>0</c:v>
                </c:pt>
                <c:pt idx="1">
                  <c:v>9.0566263708775931</c:v>
                </c:pt>
                <c:pt idx="2">
                  <c:v>10.382428084501798</c:v>
                </c:pt>
                <c:pt idx="3">
                  <c:v>13.402178582897172</c:v>
                </c:pt>
                <c:pt idx="4">
                  <c:v>15.888060711223812</c:v>
                </c:pt>
                <c:pt idx="5">
                  <c:v>18.241931390137278</c:v>
                </c:pt>
                <c:pt idx="6">
                  <c:v>21.166422304459839</c:v>
                </c:pt>
                <c:pt idx="7">
                  <c:v>24.420705468425073</c:v>
                </c:pt>
                <c:pt idx="8">
                  <c:v>27.704510963093465</c:v>
                </c:pt>
                <c:pt idx="9">
                  <c:v>30.959947161371932</c:v>
                </c:pt>
                <c:pt idx="10">
                  <c:v>34.180381431352366</c:v>
                </c:pt>
                <c:pt idx="11">
                  <c:v>37.916237877444189</c:v>
                </c:pt>
                <c:pt idx="12">
                  <c:v>41.998447739720163</c:v>
                </c:pt>
                <c:pt idx="13">
                  <c:v>46.389455793288199</c:v>
                </c:pt>
                <c:pt idx="14">
                  <c:v>44.878543116513505</c:v>
                </c:pt>
                <c:pt idx="15">
                  <c:v>47.628861111077846</c:v>
                </c:pt>
                <c:pt idx="16">
                  <c:v>44.40979737998731</c:v>
                </c:pt>
                <c:pt idx="17">
                  <c:v>46.480610005099976</c:v>
                </c:pt>
                <c:pt idx="18">
                  <c:v>48.497431404267047</c:v>
                </c:pt>
                <c:pt idx="19">
                  <c:v>34.658944221665926</c:v>
                </c:pt>
                <c:pt idx="20">
                  <c:v>5.969401953324625</c:v>
                </c:pt>
                <c:pt idx="21">
                  <c:v>0.16104888207641446</c:v>
                </c:pt>
                <c:pt idx="22">
                  <c:v>0</c:v>
                </c:pt>
              </c:numCache>
            </c:numRef>
          </c:yVal>
          <c:smooth val="1"/>
        </c:ser>
        <c:axId val="86816256"/>
        <c:axId val="86817792"/>
      </c:scatterChart>
      <c:valAx>
        <c:axId val="86816256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86817792"/>
        <c:crosses val="autoZero"/>
        <c:crossBetween val="midCat"/>
      </c:valAx>
      <c:valAx>
        <c:axId val="868177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Внутрикамерное давление, МПа</a:t>
                </a:r>
              </a:p>
            </c:rich>
          </c:tx>
        </c:title>
        <c:numFmt formatCode="General" sourceLinked="1"/>
        <c:majorTickMark val="none"/>
        <c:tickLblPos val="nextTo"/>
        <c:crossAx val="868162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U</a:t>
            </a:r>
            <a:r>
              <a:rPr lang="ru-RU" baseline="0"/>
              <a:t>(</a:t>
            </a:r>
            <a:r>
              <a:rPr lang="en-US" baseline="0"/>
              <a:t>t)</a:t>
            </a:r>
            <a:r>
              <a:rPr lang="ru-RU" baseline="0"/>
              <a:t> в мм/с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T= -40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ВБП_Опыт!$J$4:$J$26</c:f>
              <c:numCache>
                <c:formatCode>0.000</c:formatCode>
                <c:ptCount val="23"/>
                <c:pt idx="0">
                  <c:v>0</c:v>
                </c:pt>
                <c:pt idx="1">
                  <c:v>0.27777777777777779</c:v>
                </c:pt>
                <c:pt idx="2">
                  <c:v>0.53507175287948583</c:v>
                </c:pt>
                <c:pt idx="3">
                  <c:v>0.77251144871969601</c:v>
                </c:pt>
                <c:pt idx="4">
                  <c:v>0.97686345691401488</c:v>
                </c:pt>
                <c:pt idx="5">
                  <c:v>1.1617657605256426</c:v>
                </c:pt>
                <c:pt idx="6">
                  <c:v>1.3322458637298797</c:v>
                </c:pt>
                <c:pt idx="7">
                  <c:v>1.4884580230273114</c:v>
                </c:pt>
                <c:pt idx="8">
                  <c:v>1.6320748902331919</c:v>
                </c:pt>
                <c:pt idx="9">
                  <c:v>1.7654264002879798</c:v>
                </c:pt>
                <c:pt idx="10">
                  <c:v>1.8903476201202867</c:v>
                </c:pt>
                <c:pt idx="11">
                  <c:v>2.0082096833372742</c:v>
                </c:pt>
                <c:pt idx="12">
                  <c:v>2.1191001290465237</c:v>
                </c:pt>
                <c:pt idx="13">
                  <c:v>2.2235217942356362</c:v>
                </c:pt>
                <c:pt idx="14">
                  <c:v>2.3220147980021664</c:v>
                </c:pt>
                <c:pt idx="15">
                  <c:v>2.4224436309651609</c:v>
                </c:pt>
                <c:pt idx="16">
                  <c:v>2.5194218948896454</c:v>
                </c:pt>
                <c:pt idx="17">
                  <c:v>2.6204724747654553</c:v>
                </c:pt>
                <c:pt idx="18">
                  <c:v>2.7188518928127472</c:v>
                </c:pt>
                <c:pt idx="19">
                  <c:v>2.8148054205274975</c:v>
                </c:pt>
                <c:pt idx="20">
                  <c:v>2.9317081325851482</c:v>
                </c:pt>
                <c:pt idx="21">
                  <c:v>3.2604419366098272</c:v>
                </c:pt>
                <c:pt idx="22">
                  <c:v>6.0089951390856786</c:v>
                </c:pt>
              </c:numCache>
            </c:numRef>
          </c:xVal>
          <c:yVal>
            <c:numRef>
              <c:f>ВБП_Опыт!$I$4:$I$26</c:f>
              <c:numCache>
                <c:formatCode>0.000</c:formatCode>
                <c:ptCount val="23"/>
                <c:pt idx="0">
                  <c:v>9</c:v>
                </c:pt>
                <c:pt idx="1">
                  <c:v>9.7165120132010578</c:v>
                </c:pt>
                <c:pt idx="2">
                  <c:v>10.528989228837393</c:v>
                </c:pt>
                <c:pt idx="3">
                  <c:v>12.233792180905525</c:v>
                </c:pt>
                <c:pt idx="4">
                  <c:v>13.520653616360811</c:v>
                </c:pt>
                <c:pt idx="5">
                  <c:v>14.664467893974537</c:v>
                </c:pt>
                <c:pt idx="6">
                  <c:v>16.003875826592605</c:v>
                </c:pt>
                <c:pt idx="7">
                  <c:v>17.407426081897146</c:v>
                </c:pt>
                <c:pt idx="8">
                  <c:v>18.747444246959517</c:v>
                </c:pt>
                <c:pt idx="9">
                  <c:v>20.012612775923714</c:v>
                </c:pt>
                <c:pt idx="10">
                  <c:v>21.211235674683763</c:v>
                </c:pt>
                <c:pt idx="11">
                  <c:v>22.544773663863769</c:v>
                </c:pt>
                <c:pt idx="12">
                  <c:v>23.94139181244033</c:v>
                </c:pt>
                <c:pt idx="13">
                  <c:v>25.382513522747782</c:v>
                </c:pt>
                <c:pt idx="14">
                  <c:v>24.893249540410281</c:v>
                </c:pt>
                <c:pt idx="15">
                  <c:v>25.778972512301422</c:v>
                </c:pt>
                <c:pt idx="16">
                  <c:v>24.740085639018321</c:v>
                </c:pt>
                <c:pt idx="17">
                  <c:v>25.411819358376675</c:v>
                </c:pt>
                <c:pt idx="18">
                  <c:v>26.054279186399224</c:v>
                </c:pt>
                <c:pt idx="19">
                  <c:v>21.385303693956377</c:v>
                </c:pt>
                <c:pt idx="20">
                  <c:v>7.6049373973487651</c:v>
                </c:pt>
                <c:pt idx="21">
                  <c:v>0.90956944102375048</c:v>
                </c:pt>
                <c:pt idx="2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T=20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ВБП_Опыт!$R$4:$R$26</c:f>
              <c:numCache>
                <c:formatCode>0.000</c:formatCode>
                <c:ptCount val="23"/>
                <c:pt idx="0">
                  <c:v>0</c:v>
                </c:pt>
                <c:pt idx="1">
                  <c:v>0.20833333333333334</c:v>
                </c:pt>
                <c:pt idx="2">
                  <c:v>0.41128278463014672</c:v>
                </c:pt>
                <c:pt idx="3">
                  <c:v>0.59838167053907687</c:v>
                </c:pt>
                <c:pt idx="4">
                  <c:v>0.75910310966068262</c:v>
                </c:pt>
                <c:pt idx="5">
                  <c:v>0.90434394601783907</c:v>
                </c:pt>
                <c:pt idx="6">
                  <c:v>1.0381188889020929</c:v>
                </c:pt>
                <c:pt idx="7">
                  <c:v>1.1605626313934083</c:v>
                </c:pt>
                <c:pt idx="8">
                  <c:v>1.2730143757624812</c:v>
                </c:pt>
                <c:pt idx="9">
                  <c:v>1.377330632448786</c:v>
                </c:pt>
                <c:pt idx="10">
                  <c:v>1.4749716154620638</c:v>
                </c:pt>
                <c:pt idx="11">
                  <c:v>1.5670273769721599</c:v>
                </c:pt>
                <c:pt idx="12">
                  <c:v>1.6535713237634175</c:v>
                </c:pt>
                <c:pt idx="13">
                  <c:v>1.7350049112618093</c:v>
                </c:pt>
                <c:pt idx="14">
                  <c:v>1.811758340942565</c:v>
                </c:pt>
                <c:pt idx="15">
                  <c:v>1.8900395568284716</c:v>
                </c:pt>
                <c:pt idx="16">
                  <c:v>1.9655977945361234</c:v>
                </c:pt>
                <c:pt idx="17">
                  <c:v>2.0443697819074473</c:v>
                </c:pt>
                <c:pt idx="18">
                  <c:v>2.1210335796940409</c:v>
                </c:pt>
                <c:pt idx="19">
                  <c:v>2.1957833918742864</c:v>
                </c:pt>
                <c:pt idx="20">
                  <c:v>2.2870804329897414</c:v>
                </c:pt>
                <c:pt idx="21">
                  <c:v>2.5471840265707737</c:v>
                </c:pt>
                <c:pt idx="22">
                  <c:v>4.7810222164831151</c:v>
                </c:pt>
              </c:numCache>
            </c:numRef>
          </c:xVal>
          <c:yVal>
            <c:numRef>
              <c:f>ВБП_Опыт!$Q$4:$Q$26</c:f>
              <c:numCache>
                <c:formatCode>0.000</c:formatCode>
                <c:ptCount val="23"/>
                <c:pt idx="0">
                  <c:v>12</c:v>
                </c:pt>
                <c:pt idx="1">
                  <c:v>12.31833830555054</c:v>
                </c:pt>
                <c:pt idx="2">
                  <c:v>13.36191815282571</c:v>
                </c:pt>
                <c:pt idx="3">
                  <c:v>15.554863207194394</c:v>
                </c:pt>
                <c:pt idx="4">
                  <c:v>17.212789892316103</c:v>
                </c:pt>
                <c:pt idx="5">
                  <c:v>18.688103662006995</c:v>
                </c:pt>
                <c:pt idx="6">
                  <c:v>20.417539917789735</c:v>
                </c:pt>
                <c:pt idx="7">
                  <c:v>22.231758289092099</c:v>
                </c:pt>
                <c:pt idx="8">
                  <c:v>23.965583883228209</c:v>
                </c:pt>
                <c:pt idx="9">
                  <c:v>25.604002774736848</c:v>
                </c:pt>
                <c:pt idx="10">
                  <c:v>27.157452819787007</c:v>
                </c:pt>
                <c:pt idx="11">
                  <c:v>28.887057878582215</c:v>
                </c:pt>
                <c:pt idx="12">
                  <c:v>30.699863248065419</c:v>
                </c:pt>
                <c:pt idx="13">
                  <c:v>32.571834384448685</c:v>
                </c:pt>
                <c:pt idx="14">
                  <c:v>31.936141661924431</c:v>
                </c:pt>
                <c:pt idx="15">
                  <c:v>33.08706073417099</c:v>
                </c:pt>
                <c:pt idx="16">
                  <c:v>31.737170578358349</c:v>
                </c:pt>
                <c:pt idx="17">
                  <c:v>32.609915920929964</c:v>
                </c:pt>
                <c:pt idx="18">
                  <c:v>33.444900088467222</c:v>
                </c:pt>
                <c:pt idx="19">
                  <c:v>27.383143741082201</c:v>
                </c:pt>
                <c:pt idx="20">
                  <c:v>9.6115550176785813</c:v>
                </c:pt>
                <c:pt idx="21">
                  <c:v>1.119149995415784</c:v>
                </c:pt>
                <c:pt idx="2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T=50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ВБП_Опыт!$Z$4:$Z$26</c:f>
              <c:numCache>
                <c:formatCode>0.000</c:formatCode>
                <c:ptCount val="23"/>
                <c:pt idx="0">
                  <c:v>0</c:v>
                </c:pt>
                <c:pt idx="1">
                  <c:v>0.19230769230769232</c:v>
                </c:pt>
                <c:pt idx="2">
                  <c:v>0.37383751963120049</c:v>
                </c:pt>
                <c:pt idx="3">
                  <c:v>0.54078396796297978</c:v>
                </c:pt>
                <c:pt idx="4">
                  <c:v>0.68354507554773059</c:v>
                </c:pt>
                <c:pt idx="5">
                  <c:v>0.81216610263253697</c:v>
                </c:pt>
                <c:pt idx="6">
                  <c:v>0.93034284600113581</c:v>
                </c:pt>
                <c:pt idx="7">
                  <c:v>1.0382242371824311</c:v>
                </c:pt>
                <c:pt idx="8">
                  <c:v>1.1370505629386591</c:v>
                </c:pt>
                <c:pt idx="9">
                  <c:v>1.2285218899936383</c:v>
                </c:pt>
                <c:pt idx="10">
                  <c:v>1.3139710701071601</c:v>
                </c:pt>
                <c:pt idx="11">
                  <c:v>1.3943909067455749</c:v>
                </c:pt>
                <c:pt idx="12">
                  <c:v>1.4698564247725889</c:v>
                </c:pt>
                <c:pt idx="13">
                  <c:v>1.5407368727345905</c:v>
                </c:pt>
                <c:pt idx="14">
                  <c:v>1.6074257509272818</c:v>
                </c:pt>
                <c:pt idx="15">
                  <c:v>1.6754821044003712</c:v>
                </c:pt>
                <c:pt idx="16">
                  <c:v>1.7411017678343581</c:v>
                </c:pt>
                <c:pt idx="17">
                  <c:v>1.8095975658665053</c:v>
                </c:pt>
                <c:pt idx="18">
                  <c:v>1.8762062423302148</c:v>
                </c:pt>
                <c:pt idx="19">
                  <c:v>1.9411029766576946</c:v>
                </c:pt>
                <c:pt idx="20">
                  <c:v>2.0208402962363046</c:v>
                </c:pt>
                <c:pt idx="21">
                  <c:v>2.2552215291914179</c:v>
                </c:pt>
                <c:pt idx="22">
                  <c:v>4.4015854044064806</c:v>
                </c:pt>
              </c:numCache>
            </c:numRef>
          </c:xVal>
          <c:yVal>
            <c:numRef>
              <c:f>ВБП_Опыт!$Y$4:$Y$26</c:f>
              <c:numCache>
                <c:formatCode>0.000</c:formatCode>
                <c:ptCount val="23"/>
                <c:pt idx="0">
                  <c:v>13</c:v>
                </c:pt>
                <c:pt idx="1">
                  <c:v>13.771841448098204</c:v>
                </c:pt>
                <c:pt idx="2">
                  <c:v>14.974861849301826</c:v>
                </c:pt>
                <c:pt idx="3">
                  <c:v>17.511772234716393</c:v>
                </c:pt>
                <c:pt idx="4">
                  <c:v>19.436946327225513</c:v>
                </c:pt>
                <c:pt idx="5">
                  <c:v>21.154754554391321</c:v>
                </c:pt>
                <c:pt idx="6">
                  <c:v>23.173598084202855</c:v>
                </c:pt>
                <c:pt idx="7">
                  <c:v>25.296903237773659</c:v>
                </c:pt>
                <c:pt idx="8">
                  <c:v>27.330968954865657</c:v>
                </c:pt>
                <c:pt idx="9">
                  <c:v>29.257156085976241</c:v>
                </c:pt>
                <c:pt idx="10">
                  <c:v>31.08685747821832</c:v>
                </c:pt>
                <c:pt idx="11">
                  <c:v>33.127712700588425</c:v>
                </c:pt>
                <c:pt idx="12">
                  <c:v>35.270657450418902</c:v>
                </c:pt>
                <c:pt idx="13">
                  <c:v>37.487510177881305</c:v>
                </c:pt>
                <c:pt idx="14">
                  <c:v>36.734263186589047</c:v>
                </c:pt>
                <c:pt idx="15">
                  <c:v>38.098336217694701</c:v>
                </c:pt>
                <c:pt idx="16">
                  <c:v>36.498589283194754</c:v>
                </c:pt>
                <c:pt idx="17">
                  <c:v>37.532647888028187</c:v>
                </c:pt>
                <c:pt idx="18">
                  <c:v>38.5227396402504</c:v>
                </c:pt>
                <c:pt idx="19">
                  <c:v>31.35294756848889</c:v>
                </c:pt>
                <c:pt idx="20">
                  <c:v>10.666383005497623</c:v>
                </c:pt>
                <c:pt idx="21">
                  <c:v>1.164760565004153</c:v>
                </c:pt>
                <c:pt idx="22">
                  <c:v>0</c:v>
                </c:pt>
              </c:numCache>
            </c:numRef>
          </c:yVal>
          <c:smooth val="1"/>
        </c:ser>
        <c:axId val="86864640"/>
        <c:axId val="86866176"/>
      </c:scatterChart>
      <c:valAx>
        <c:axId val="86864640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86866176"/>
        <c:crosses val="autoZero"/>
        <c:crossBetween val="midCat"/>
      </c:valAx>
      <c:valAx>
        <c:axId val="86866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Скорость горения, мм/с</a:t>
                </a:r>
              </a:p>
            </c:rich>
          </c:tx>
        </c:title>
        <c:numFmt formatCode="0.000" sourceLinked="1"/>
        <c:majorTickMark val="none"/>
        <c:tickLblPos val="nextTo"/>
        <c:crossAx val="8686464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R</a:t>
            </a:r>
            <a:r>
              <a:rPr lang="ru-RU" baseline="0"/>
              <a:t>(</a:t>
            </a:r>
            <a:r>
              <a:rPr lang="en-US" baseline="0"/>
              <a:t>t)</a:t>
            </a:r>
            <a:r>
              <a:rPr lang="ru-RU" baseline="0"/>
              <a:t> в кГс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T= -40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ВБП_Опыт!$J$4:$J$26</c:f>
              <c:numCache>
                <c:formatCode>0.000</c:formatCode>
                <c:ptCount val="23"/>
                <c:pt idx="0">
                  <c:v>0</c:v>
                </c:pt>
                <c:pt idx="1">
                  <c:v>0.27777777777777779</c:v>
                </c:pt>
                <c:pt idx="2">
                  <c:v>0.53507175287948583</c:v>
                </c:pt>
                <c:pt idx="3">
                  <c:v>0.77251144871969601</c:v>
                </c:pt>
                <c:pt idx="4">
                  <c:v>0.97686345691401488</c:v>
                </c:pt>
                <c:pt idx="5">
                  <c:v>1.1617657605256426</c:v>
                </c:pt>
                <c:pt idx="6">
                  <c:v>1.3322458637298797</c:v>
                </c:pt>
                <c:pt idx="7">
                  <c:v>1.4884580230273114</c:v>
                </c:pt>
                <c:pt idx="8">
                  <c:v>1.6320748902331919</c:v>
                </c:pt>
                <c:pt idx="9">
                  <c:v>1.7654264002879798</c:v>
                </c:pt>
                <c:pt idx="10">
                  <c:v>1.8903476201202867</c:v>
                </c:pt>
                <c:pt idx="11">
                  <c:v>2.0082096833372742</c:v>
                </c:pt>
                <c:pt idx="12">
                  <c:v>2.1191001290465237</c:v>
                </c:pt>
                <c:pt idx="13">
                  <c:v>2.2235217942356362</c:v>
                </c:pt>
                <c:pt idx="14">
                  <c:v>2.3220147980021664</c:v>
                </c:pt>
                <c:pt idx="15">
                  <c:v>2.4224436309651609</c:v>
                </c:pt>
                <c:pt idx="16">
                  <c:v>2.5194218948896454</c:v>
                </c:pt>
                <c:pt idx="17">
                  <c:v>2.6204724747654553</c:v>
                </c:pt>
                <c:pt idx="18">
                  <c:v>2.7188518928127472</c:v>
                </c:pt>
                <c:pt idx="19">
                  <c:v>2.8148054205274975</c:v>
                </c:pt>
                <c:pt idx="20">
                  <c:v>2.9317081325851482</c:v>
                </c:pt>
                <c:pt idx="21">
                  <c:v>3.2604419366098272</c:v>
                </c:pt>
                <c:pt idx="22">
                  <c:v>6.0089951390856786</c:v>
                </c:pt>
              </c:numCache>
            </c:numRef>
          </c:xVal>
          <c:yVal>
            <c:numRef>
              <c:f>ВБП_Опыт!$H$4:$H$26</c:f>
              <c:numCache>
                <c:formatCode>General</c:formatCode>
                <c:ptCount val="23"/>
                <c:pt idx="0">
                  <c:v>0</c:v>
                </c:pt>
                <c:pt idx="1">
                  <c:v>864.40389764524832</c:v>
                </c:pt>
                <c:pt idx="2">
                  <c:v>1009.8422916020127</c:v>
                </c:pt>
                <c:pt idx="3">
                  <c:v>1339.4414191231904</c:v>
                </c:pt>
                <c:pt idx="4">
                  <c:v>1609.340236478148</c:v>
                </c:pt>
                <c:pt idx="5">
                  <c:v>1863.9209977111823</c:v>
                </c:pt>
                <c:pt idx="6">
                  <c:v>2179.0740839936789</c:v>
                </c:pt>
                <c:pt idx="7">
                  <c:v>2528.4818538546774</c:v>
                </c:pt>
                <c:pt idx="8">
                  <c:v>2879.8694236019182</c:v>
                </c:pt>
                <c:pt idx="9">
                  <c:v>3227.1844834290496</c:v>
                </c:pt>
                <c:pt idx="10">
                  <c:v>3569.8593196593943</c:v>
                </c:pt>
                <c:pt idx="11">
                  <c:v>3966.3641263855952</c:v>
                </c:pt>
                <c:pt idx="12">
                  <c:v>4398.5068687488583</c:v>
                </c:pt>
                <c:pt idx="13">
                  <c:v>4862.1602602239618</c:v>
                </c:pt>
                <c:pt idx="14">
                  <c:v>4702.7509455078307</c:v>
                </c:pt>
                <c:pt idx="15">
                  <c:v>4992.8262952904033</c:v>
                </c:pt>
                <c:pt idx="16">
                  <c:v>4653.2685070411007</c:v>
                </c:pt>
                <c:pt idx="17">
                  <c:v>4871.7732880884914</c:v>
                </c:pt>
                <c:pt idx="18">
                  <c:v>5084.3453645973477</c:v>
                </c:pt>
                <c:pt idx="19">
                  <c:v>3620.7101469284667</c:v>
                </c:pt>
                <c:pt idx="20">
                  <c:v>523.4804865951761</c:v>
                </c:pt>
                <c:pt idx="21">
                  <c:v>-136.46562013452387</c:v>
                </c:pt>
                <c:pt idx="2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T = 20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ВБП_Опыт!$R$4:$R$26</c:f>
              <c:numCache>
                <c:formatCode>0.000</c:formatCode>
                <c:ptCount val="23"/>
                <c:pt idx="0">
                  <c:v>0</c:v>
                </c:pt>
                <c:pt idx="1">
                  <c:v>0.20833333333333334</c:v>
                </c:pt>
                <c:pt idx="2">
                  <c:v>0.41128278463014672</c:v>
                </c:pt>
                <c:pt idx="3">
                  <c:v>0.59838167053907687</c:v>
                </c:pt>
                <c:pt idx="4">
                  <c:v>0.75910310966068262</c:v>
                </c:pt>
                <c:pt idx="5">
                  <c:v>0.90434394601783907</c:v>
                </c:pt>
                <c:pt idx="6">
                  <c:v>1.0381188889020929</c:v>
                </c:pt>
                <c:pt idx="7">
                  <c:v>1.1605626313934083</c:v>
                </c:pt>
                <c:pt idx="8">
                  <c:v>1.2730143757624812</c:v>
                </c:pt>
                <c:pt idx="9">
                  <c:v>1.377330632448786</c:v>
                </c:pt>
                <c:pt idx="10">
                  <c:v>1.4749716154620638</c:v>
                </c:pt>
                <c:pt idx="11">
                  <c:v>1.5670273769721599</c:v>
                </c:pt>
                <c:pt idx="12">
                  <c:v>1.6535713237634175</c:v>
                </c:pt>
                <c:pt idx="13">
                  <c:v>1.7350049112618093</c:v>
                </c:pt>
                <c:pt idx="14">
                  <c:v>1.811758340942565</c:v>
                </c:pt>
                <c:pt idx="15">
                  <c:v>1.8900395568284716</c:v>
                </c:pt>
                <c:pt idx="16">
                  <c:v>1.9655977945361234</c:v>
                </c:pt>
                <c:pt idx="17">
                  <c:v>2.0443697819074473</c:v>
                </c:pt>
                <c:pt idx="18">
                  <c:v>2.1210335796940409</c:v>
                </c:pt>
                <c:pt idx="19">
                  <c:v>2.1957833918742864</c:v>
                </c:pt>
                <c:pt idx="20">
                  <c:v>2.2870804329897414</c:v>
                </c:pt>
                <c:pt idx="21">
                  <c:v>2.5471840265707737</c:v>
                </c:pt>
                <c:pt idx="22">
                  <c:v>4.7810222164831151</c:v>
                </c:pt>
              </c:numCache>
            </c:numRef>
          </c:xVal>
          <c:yVal>
            <c:numRef>
              <c:f>ВБП_Опыт!$P$4:$P$26</c:f>
              <c:numCache>
                <c:formatCode>General</c:formatCode>
                <c:ptCount val="23"/>
                <c:pt idx="0">
                  <c:v>0</c:v>
                </c:pt>
                <c:pt idx="1">
                  <c:v>1146.9425609737164</c:v>
                </c:pt>
                <c:pt idx="2">
                  <c:v>1334.1400091302717</c:v>
                </c:pt>
                <c:pt idx="3">
                  <c:v>1759.0048558193216</c:v>
                </c:pt>
                <c:pt idx="4">
                  <c:v>2107.4560411248158</c:v>
                </c:pt>
                <c:pt idx="5">
                  <c:v>2436.505263188285</c:v>
                </c:pt>
                <c:pt idx="6">
                  <c:v>2844.2796806431052</c:v>
                </c:pt>
                <c:pt idx="7">
                  <c:v>3296.8652455131682</c:v>
                </c:pt>
                <c:pt idx="8">
                  <c:v>3752.4688950170162</c:v>
                </c:pt>
                <c:pt idx="9">
                  <c:v>4203.1879159786577</c:v>
                </c:pt>
                <c:pt idx="10">
                  <c:v>4648.2313267520203</c:v>
                </c:pt>
                <c:pt idx="11">
                  <c:v>5163.5733419184735</c:v>
                </c:pt>
                <c:pt idx="12">
                  <c:v>5725.663822013119</c:v>
                </c:pt>
                <c:pt idx="13">
                  <c:v>6329.1917585509409</c:v>
                </c:pt>
                <c:pt idx="14">
                  <c:v>6121.64200381923</c:v>
                </c:pt>
                <c:pt idx="15">
                  <c:v>6499.3554910761331</c:v>
                </c:pt>
                <c:pt idx="16">
                  <c:v>6057.2266982025785</c:v>
                </c:pt>
                <c:pt idx="17">
                  <c:v>6341.7094711690997</c:v>
                </c:pt>
                <c:pt idx="18">
                  <c:v>6618.5585534003694</c:v>
                </c:pt>
                <c:pt idx="19">
                  <c:v>4714.3003013687094</c:v>
                </c:pt>
                <c:pt idx="20">
                  <c:v>708.99081008256144</c:v>
                </c:pt>
                <c:pt idx="21">
                  <c:v>-131.66063184424246</c:v>
                </c:pt>
                <c:pt idx="2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T= 50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ВБП_Опыт!$Z$4:$Z$26</c:f>
              <c:numCache>
                <c:formatCode>0.000</c:formatCode>
                <c:ptCount val="23"/>
                <c:pt idx="0">
                  <c:v>0</c:v>
                </c:pt>
                <c:pt idx="1">
                  <c:v>0.19230769230769232</c:v>
                </c:pt>
                <c:pt idx="2">
                  <c:v>0.37383751963120049</c:v>
                </c:pt>
                <c:pt idx="3">
                  <c:v>0.54078396796297978</c:v>
                </c:pt>
                <c:pt idx="4">
                  <c:v>0.68354507554773059</c:v>
                </c:pt>
                <c:pt idx="5">
                  <c:v>0.81216610263253697</c:v>
                </c:pt>
                <c:pt idx="6">
                  <c:v>0.93034284600113581</c:v>
                </c:pt>
                <c:pt idx="7">
                  <c:v>1.0382242371824311</c:v>
                </c:pt>
                <c:pt idx="8">
                  <c:v>1.1370505629386591</c:v>
                </c:pt>
                <c:pt idx="9">
                  <c:v>1.2285218899936383</c:v>
                </c:pt>
                <c:pt idx="10">
                  <c:v>1.3139710701071601</c:v>
                </c:pt>
                <c:pt idx="11">
                  <c:v>1.3943909067455749</c:v>
                </c:pt>
                <c:pt idx="12">
                  <c:v>1.4698564247725889</c:v>
                </c:pt>
                <c:pt idx="13">
                  <c:v>1.5407368727345905</c:v>
                </c:pt>
                <c:pt idx="14">
                  <c:v>1.6074257509272818</c:v>
                </c:pt>
                <c:pt idx="15">
                  <c:v>1.6754821044003712</c:v>
                </c:pt>
                <c:pt idx="16">
                  <c:v>1.7411017678343581</c:v>
                </c:pt>
                <c:pt idx="17">
                  <c:v>1.8095975658665053</c:v>
                </c:pt>
                <c:pt idx="18">
                  <c:v>1.8762062423302148</c:v>
                </c:pt>
                <c:pt idx="19">
                  <c:v>1.9411029766576946</c:v>
                </c:pt>
                <c:pt idx="20">
                  <c:v>2.0208402962363046</c:v>
                </c:pt>
                <c:pt idx="21">
                  <c:v>2.2552215291914179</c:v>
                </c:pt>
                <c:pt idx="22">
                  <c:v>4.4015854044064806</c:v>
                </c:pt>
              </c:numCache>
            </c:numRef>
          </c:xVal>
          <c:yVal>
            <c:numRef>
              <c:f>ВБП_Опыт!$X$4:$X$26</c:f>
              <c:numCache>
                <c:formatCode>General</c:formatCode>
                <c:ptCount val="23"/>
                <c:pt idx="0">
                  <c:v>0</c:v>
                </c:pt>
                <c:pt idx="1">
                  <c:v>1313.4348606053418</c:v>
                </c:pt>
                <c:pt idx="2">
                  <c:v>1528.6278162998308</c:v>
                </c:pt>
                <c:pt idx="3">
                  <c:v>2018.7682562553932</c:v>
                </c:pt>
                <c:pt idx="4">
                  <c:v>2422.2556836780022</c:v>
                </c:pt>
                <c:pt idx="5">
                  <c:v>2804.3161256828002</c:v>
                </c:pt>
                <c:pt idx="6">
                  <c:v>3278.9948331302494</c:v>
                </c:pt>
                <c:pt idx="7">
                  <c:v>3807.2026379053377</c:v>
                </c:pt>
                <c:pt idx="8">
                  <c:v>4340.2022584834358</c:v>
                </c:pt>
                <c:pt idx="9">
                  <c:v>4868.5972140664717</c:v>
                </c:pt>
                <c:pt idx="10">
                  <c:v>5391.310951765975</c:v>
                </c:pt>
                <c:pt idx="11">
                  <c:v>5997.6836713238572</c:v>
                </c:pt>
                <c:pt idx="12">
                  <c:v>6660.2735571273652</c:v>
                </c:pt>
                <c:pt idx="13">
                  <c:v>7372.9849617178752</c:v>
                </c:pt>
                <c:pt idx="14">
                  <c:v>7127.7463552428344</c:v>
                </c:pt>
                <c:pt idx="15">
                  <c:v>7574.1547828893545</c:v>
                </c:pt>
                <c:pt idx="16">
                  <c:v>7051.663499506798</c:v>
                </c:pt>
                <c:pt idx="17">
                  <c:v>7387.7803448149116</c:v>
                </c:pt>
                <c:pt idx="18">
                  <c:v>7715.1337895530842</c:v>
                </c:pt>
                <c:pt idx="19">
                  <c:v>5468.9872289005561</c:v>
                </c:pt>
                <c:pt idx="20">
                  <c:v>812.3426229966276</c:v>
                </c:pt>
                <c:pt idx="21">
                  <c:v>-130.42027455786362</c:v>
                </c:pt>
                <c:pt idx="22">
                  <c:v>0</c:v>
                </c:pt>
              </c:numCache>
            </c:numRef>
          </c:yVal>
          <c:smooth val="1"/>
        </c:ser>
        <c:axId val="86917120"/>
        <c:axId val="86918656"/>
      </c:scatterChart>
      <c:valAx>
        <c:axId val="86917120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86918656"/>
        <c:crosses val="autoZero"/>
        <c:crossBetween val="midCat"/>
      </c:valAx>
      <c:valAx>
        <c:axId val="86918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Тяга, кГс</a:t>
                </a:r>
              </a:p>
            </c:rich>
          </c:tx>
        </c:title>
        <c:numFmt formatCode="General" sourceLinked="1"/>
        <c:majorTickMark val="none"/>
        <c:tickLblPos val="nextTo"/>
        <c:crossAx val="869171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ВБП_Опыт!$B$4:$B$26</c:f>
              <c:numCache>
                <c:formatCode>General</c:formatCode>
                <c:ptCount val="2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</c:numCache>
            </c:numRef>
          </c:xVal>
          <c:yVal>
            <c:numRef>
              <c:f>ВБП_Опыт!$C$4:$C$26</c:f>
              <c:numCache>
                <c:formatCode>General</c:formatCode>
                <c:ptCount val="23"/>
                <c:pt idx="0">
                  <c:v>224817.99</c:v>
                </c:pt>
                <c:pt idx="1">
                  <c:v>244878.6</c:v>
                </c:pt>
                <c:pt idx="2">
                  <c:v>258174</c:v>
                </c:pt>
                <c:pt idx="3">
                  <c:v>284984.8</c:v>
                </c:pt>
                <c:pt idx="4">
                  <c:v>304382.2</c:v>
                </c:pt>
                <c:pt idx="5">
                  <c:v>321099.2</c:v>
                </c:pt>
                <c:pt idx="6">
                  <c:v>340118.6</c:v>
                </c:pt>
                <c:pt idx="7">
                  <c:v>359473.8</c:v>
                </c:pt>
                <c:pt idx="8">
                  <c:v>377460.8</c:v>
                </c:pt>
                <c:pt idx="9">
                  <c:v>394043.8</c:v>
                </c:pt>
                <c:pt idx="10">
                  <c:v>409427</c:v>
                </c:pt>
                <c:pt idx="11">
                  <c:v>426196.8</c:v>
                </c:pt>
                <c:pt idx="12">
                  <c:v>443400.4</c:v>
                </c:pt>
                <c:pt idx="13">
                  <c:v>460796.4</c:v>
                </c:pt>
                <c:pt idx="14">
                  <c:v>454929.2</c:v>
                </c:pt>
                <c:pt idx="15">
                  <c:v>465522.4</c:v>
                </c:pt>
                <c:pt idx="16">
                  <c:v>453084.4</c:v>
                </c:pt>
                <c:pt idx="17">
                  <c:v>461146.6</c:v>
                </c:pt>
                <c:pt idx="18">
                  <c:v>468789.6</c:v>
                </c:pt>
                <c:pt idx="19">
                  <c:v>411636</c:v>
                </c:pt>
                <c:pt idx="20">
                  <c:v>208396.32</c:v>
                </c:pt>
                <c:pt idx="21">
                  <c:v>51486.984000000004</c:v>
                </c:pt>
                <c:pt idx="22">
                  <c:v>0</c:v>
                </c:pt>
              </c:numCache>
            </c:numRef>
          </c:yVal>
          <c:smooth val="1"/>
        </c:ser>
        <c:axId val="86953984"/>
        <c:axId val="86955520"/>
      </c:scatterChart>
      <c:valAx>
        <c:axId val="86953984"/>
        <c:scaling>
          <c:orientation val="minMax"/>
        </c:scaling>
        <c:axPos val="b"/>
        <c:numFmt formatCode="General" sourceLinked="1"/>
        <c:tickLblPos val="nextTo"/>
        <c:crossAx val="86955520"/>
        <c:crosses val="autoZero"/>
        <c:crossBetween val="midCat"/>
      </c:valAx>
      <c:valAx>
        <c:axId val="86955520"/>
        <c:scaling>
          <c:orientation val="minMax"/>
        </c:scaling>
        <c:axPos val="l"/>
        <c:majorGridlines/>
        <c:numFmt formatCode="General" sourceLinked="1"/>
        <c:tickLblPos val="nextTo"/>
        <c:crossAx val="869539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Скорость_опытная!$AC$128:$AC$133</c:f>
              <c:numCache>
                <c:formatCode>General</c:formatCode>
                <c:ptCount val="6"/>
                <c:pt idx="0">
                  <c:v>0.95899999999999996</c:v>
                </c:pt>
                <c:pt idx="1">
                  <c:v>0.89900000000000002</c:v>
                </c:pt>
                <c:pt idx="2">
                  <c:v>1.286</c:v>
                </c:pt>
                <c:pt idx="3">
                  <c:v>1.71</c:v>
                </c:pt>
                <c:pt idx="4">
                  <c:v>2.44</c:v>
                </c:pt>
                <c:pt idx="5">
                  <c:v>2.76</c:v>
                </c:pt>
              </c:numCache>
            </c:numRef>
          </c:yVal>
          <c:smooth val="1"/>
        </c:ser>
        <c:axId val="86991232"/>
        <c:axId val="86992768"/>
      </c:scatterChart>
      <c:valAx>
        <c:axId val="86991232"/>
        <c:scaling>
          <c:orientation val="minMax"/>
        </c:scaling>
        <c:axPos val="b"/>
        <c:tickLblPos val="nextTo"/>
        <c:crossAx val="86992768"/>
        <c:crosses val="autoZero"/>
        <c:crossBetween val="midCat"/>
      </c:valAx>
      <c:valAx>
        <c:axId val="86992768"/>
        <c:scaling>
          <c:orientation val="minMax"/>
        </c:scaling>
        <c:axPos val="l"/>
        <c:majorGridlines/>
        <c:numFmt formatCode="General" sourceLinked="1"/>
        <c:tickLblPos val="nextTo"/>
        <c:crossAx val="869912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lineMarker"/>
        <c:ser>
          <c:idx val="0"/>
          <c:order val="0"/>
          <c:tx>
            <c:v>-40</c:v>
          </c:tx>
          <c:marker>
            <c:symbol val="none"/>
          </c:marker>
          <c:xVal>
            <c:numRef>
              <c:f>ВБП_цикл!$M$4:$M$26</c:f>
              <c:numCache>
                <c:formatCode>General</c:formatCode>
                <c:ptCount val="23"/>
                <c:pt idx="0">
                  <c:v>0</c:v>
                </c:pt>
                <c:pt idx="1">
                  <c:v>0.37603553821705832</c:v>
                </c:pt>
                <c:pt idx="2">
                  <c:v>0.6762467382275964</c:v>
                </c:pt>
                <c:pt idx="3">
                  <c:v>0.93755971612250333</c:v>
                </c:pt>
                <c:pt idx="4">
                  <c:v>1.1780224148106826</c:v>
                </c:pt>
                <c:pt idx="5">
                  <c:v>1.3909974518121049</c:v>
                </c:pt>
                <c:pt idx="6">
                  <c:v>1.5971065232473762</c:v>
                </c:pt>
                <c:pt idx="7">
                  <c:v>1.792793320102501</c:v>
                </c:pt>
                <c:pt idx="8">
                  <c:v>1.982634149635903</c:v>
                </c:pt>
                <c:pt idx="9">
                  <c:v>2.1674629979395568</c:v>
                </c:pt>
                <c:pt idx="10">
                  <c:v>2.3479880090881342</c:v>
                </c:pt>
                <c:pt idx="11">
                  <c:v>2.5247639921613665</c:v>
                </c:pt>
                <c:pt idx="12">
                  <c:v>2.6976937791090103</c:v>
                </c:pt>
                <c:pt idx="13">
                  <c:v>2.8669139573864992</c:v>
                </c:pt>
                <c:pt idx="14">
                  <c:v>3.0326029406417705</c:v>
                </c:pt>
                <c:pt idx="15">
                  <c:v>3.1994595171936289</c:v>
                </c:pt>
                <c:pt idx="16">
                  <c:v>3.3642246158224638</c:v>
                </c:pt>
                <c:pt idx="17">
                  <c:v>3.5314531429286773</c:v>
                </c:pt>
                <c:pt idx="18">
                  <c:v>3.6970731631963809</c:v>
                </c:pt>
                <c:pt idx="19">
                  <c:v>3.861208002083353</c:v>
                </c:pt>
                <c:pt idx="20">
                  <c:v>4.0374635050292893</c:v>
                </c:pt>
                <c:pt idx="21">
                  <c:v>4.3955078252232767</c:v>
                </c:pt>
                <c:pt idx="22">
                  <c:v>7.5874146459142526</c:v>
                </c:pt>
              </c:numCache>
            </c:numRef>
          </c:xVal>
          <c:yVal>
            <c:numRef>
              <c:f>ВБП_цикл!$E$4:$E$26</c:f>
              <c:numCache>
                <c:formatCode>General</c:formatCode>
                <c:ptCount val="23"/>
                <c:pt idx="0">
                  <c:v>2.6847624341454028</c:v>
                </c:pt>
                <c:pt idx="1">
                  <c:v>3.6529231072552211</c:v>
                </c:pt>
                <c:pt idx="2">
                  <c:v>4.4133238742319012</c:v>
                </c:pt>
                <c:pt idx="3">
                  <c:v>5.2940526409958348</c:v>
                </c:pt>
                <c:pt idx="4">
                  <c:v>6.3650088016368427</c:v>
                </c:pt>
                <c:pt idx="5">
                  <c:v>6.9382600921620927</c:v>
                </c:pt>
                <c:pt idx="6">
                  <c:v>7.7327931425521292</c:v>
                </c:pt>
                <c:pt idx="7">
                  <c:v>8.4245197750049954</c:v>
                </c:pt>
                <c:pt idx="8">
                  <c:v>9.0859351553345444</c:v>
                </c:pt>
                <c:pt idx="9">
                  <c:v>9.7112392217471655</c:v>
                </c:pt>
                <c:pt idx="10">
                  <c:v>10.304353578574302</c:v>
                </c:pt>
                <c:pt idx="11">
                  <c:v>10.964981733454765</c:v>
                </c:pt>
                <c:pt idx="12">
                  <c:v>11.657662197188294</c:v>
                </c:pt>
                <c:pt idx="13">
                  <c:v>12.373226952045888</c:v>
                </c:pt>
                <c:pt idx="14">
                  <c:v>12.130201602133079</c:v>
                </c:pt>
                <c:pt idx="15">
                  <c:v>12.570220470264783</c:v>
                </c:pt>
                <c:pt idx="16">
                  <c:v>12.054141329678616</c:v>
                </c:pt>
                <c:pt idx="17">
                  <c:v>12.387786501619901</c:v>
                </c:pt>
                <c:pt idx="18">
                  <c:v>12.707049729157552</c:v>
                </c:pt>
                <c:pt idx="19">
                  <c:v>10.390541913500007</c:v>
                </c:pt>
                <c:pt idx="20">
                  <c:v>2.6065727115127304</c:v>
                </c:pt>
                <c:pt idx="21">
                  <c:v>7.2435412975809826E-2</c:v>
                </c:pt>
                <c:pt idx="22">
                  <c:v>0</c:v>
                </c:pt>
              </c:numCache>
            </c:numRef>
          </c:yVal>
        </c:ser>
        <c:ser>
          <c:idx val="1"/>
          <c:order val="1"/>
          <c:tx>
            <c:v>20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ВБП_цикл!$Y$4:$Y$26</c:f>
              <c:numCache>
                <c:formatCode>General</c:formatCode>
                <c:ptCount val="23"/>
                <c:pt idx="0">
                  <c:v>0</c:v>
                </c:pt>
                <c:pt idx="1">
                  <c:v>0.18377711115887665</c:v>
                </c:pt>
                <c:pt idx="2">
                  <c:v>0.35578706226350187</c:v>
                </c:pt>
                <c:pt idx="3">
                  <c:v>0.52022182326720834</c:v>
                </c:pt>
                <c:pt idx="4">
                  <c:v>0.67135218091319071</c:v>
                </c:pt>
                <c:pt idx="5">
                  <c:v>0.81686796687777008</c:v>
                </c:pt>
                <c:pt idx="6">
                  <c:v>0.9580356025379051</c:v>
                </c:pt>
                <c:pt idx="7">
                  <c:v>1.0946684767568156</c:v>
                </c:pt>
                <c:pt idx="8">
                  <c:v>1.2270772418688343</c:v>
                </c:pt>
                <c:pt idx="9">
                  <c:v>1.3558681713324923</c:v>
                </c:pt>
                <c:pt idx="10">
                  <c:v>1.4815551988022717</c:v>
                </c:pt>
                <c:pt idx="11">
                  <c:v>1.6045405825739789</c:v>
                </c:pt>
                <c:pt idx="12">
                  <c:v>1.7247564097380126</c:v>
                </c:pt>
                <c:pt idx="13">
                  <c:v>1.8423030996392507</c:v>
                </c:pt>
                <c:pt idx="14">
                  <c:v>1.9573109486557301</c:v>
                </c:pt>
                <c:pt idx="15">
                  <c:v>2.073158057944092</c:v>
                </c:pt>
                <c:pt idx="16">
                  <c:v>2.187501971647702</c:v>
                </c:pt>
                <c:pt idx="17">
                  <c:v>2.3036164809121393</c:v>
                </c:pt>
                <c:pt idx="18">
                  <c:v>2.4185747662124388</c:v>
                </c:pt>
                <c:pt idx="19">
                  <c:v>2.5324658291717514</c:v>
                </c:pt>
                <c:pt idx="20">
                  <c:v>2.6550763013495216</c:v>
                </c:pt>
                <c:pt idx="21">
                  <c:v>2.8567051457442054</c:v>
                </c:pt>
                <c:pt idx="22">
                  <c:v>4.2556392621253423</c:v>
                </c:pt>
              </c:numCache>
            </c:numRef>
          </c:xVal>
          <c:yVal>
            <c:numRef>
              <c:f>ВБП_цикл!$Q$4:$Q$26</c:f>
              <c:numCache>
                <c:formatCode>General</c:formatCode>
                <c:ptCount val="23"/>
                <c:pt idx="0">
                  <c:v>8.2638874244244036</c:v>
                </c:pt>
                <c:pt idx="1">
                  <c:v>9.5833143719412455</c:v>
                </c:pt>
                <c:pt idx="2">
                  <c:v>10.569083909092143</c:v>
                </c:pt>
                <c:pt idx="3">
                  <c:v>12.682311374796805</c:v>
                </c:pt>
                <c:pt idx="4">
                  <c:v>14.02702814717968</c:v>
                </c:pt>
                <c:pt idx="5">
                  <c:v>15.253187493726628</c:v>
                </c:pt>
                <c:pt idx="6">
                  <c:v>16.69289665257655</c:v>
                </c:pt>
                <c:pt idx="7">
                  <c:v>18.20568539354192</c:v>
                </c:pt>
                <c:pt idx="8">
                  <c:v>19.653644887752279</c:v>
                </c:pt>
                <c:pt idx="9">
                  <c:v>21.023768684439375</c:v>
                </c:pt>
                <c:pt idx="10">
                  <c:v>22.324385052787914</c:v>
                </c:pt>
                <c:pt idx="11">
                  <c:v>23.774153461049831</c:v>
                </c:pt>
                <c:pt idx="12">
                  <c:v>25.295437940119321</c:v>
                </c:pt>
                <c:pt idx="13">
                  <c:v>26.868172176446556</c:v>
                </c:pt>
                <c:pt idx="14">
                  <c:v>26.333897330756127</c:v>
                </c:pt>
                <c:pt idx="15">
                  <c:v>27.301345838271551</c:v>
                </c:pt>
                <c:pt idx="16">
                  <c:v>26.166711400362129</c:v>
                </c:pt>
                <c:pt idx="17">
                  <c:v>26.900184568369887</c:v>
                </c:pt>
                <c:pt idx="18">
                  <c:v>27.602273082192834</c:v>
                </c:pt>
                <c:pt idx="19">
                  <c:v>22.513463398422665</c:v>
                </c:pt>
                <c:pt idx="20">
                  <c:v>6.9820368518907863</c:v>
                </c:pt>
                <c:pt idx="21">
                  <c:v>0.24891650958201431</c:v>
                </c:pt>
                <c:pt idx="22">
                  <c:v>0</c:v>
                </c:pt>
              </c:numCache>
            </c:numRef>
          </c:yVal>
        </c:ser>
        <c:ser>
          <c:idx val="2"/>
          <c:order val="2"/>
          <c:tx>
            <c:v>50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ВБП_цикл!$AK$4:$AK$26</c:f>
              <c:numCache>
                <c:formatCode>General</c:formatCode>
                <c:ptCount val="23"/>
                <c:pt idx="0">
                  <c:v>0</c:v>
                </c:pt>
                <c:pt idx="1">
                  <c:v>0.16356785031846882</c:v>
                </c:pt>
                <c:pt idx="2">
                  <c:v>0.31516775005178921</c:v>
                </c:pt>
                <c:pt idx="3">
                  <c:v>0.46193380903315251</c:v>
                </c:pt>
                <c:pt idx="4">
                  <c:v>0.6022624860772462</c:v>
                </c:pt>
                <c:pt idx="5">
                  <c:v>0.73680599450981821</c:v>
                </c:pt>
                <c:pt idx="6">
                  <c:v>0.86682809945820316</c:v>
                </c:pt>
                <c:pt idx="7">
                  <c:v>0.9921535395555634</c:v>
                </c:pt>
                <c:pt idx="8">
                  <c:v>1.1131217929012869</c:v>
                </c:pt>
                <c:pt idx="9">
                  <c:v>1.230372200740578</c:v>
                </c:pt>
                <c:pt idx="10">
                  <c:v>1.3444434282946864</c:v>
                </c:pt>
                <c:pt idx="11">
                  <c:v>1.4557555738157208</c:v>
                </c:pt>
                <c:pt idx="12">
                  <c:v>1.5642472488006918</c:v>
                </c:pt>
                <c:pt idx="13">
                  <c:v>1.6700285025922998</c:v>
                </c:pt>
                <c:pt idx="14">
                  <c:v>1.7732388765433591</c:v>
                </c:pt>
                <c:pt idx="15">
                  <c:v>1.8772983134123156</c:v>
                </c:pt>
                <c:pt idx="16">
                  <c:v>1.9798375533220127</c:v>
                </c:pt>
                <c:pt idx="17">
                  <c:v>2.0841676775793352</c:v>
                </c:pt>
                <c:pt idx="18">
                  <c:v>2.1873279334135365</c:v>
                </c:pt>
                <c:pt idx="19">
                  <c:v>2.2894096957383141</c:v>
                </c:pt>
                <c:pt idx="20">
                  <c:v>2.4003395619564811</c:v>
                </c:pt>
                <c:pt idx="21">
                  <c:v>2.5817372180193647</c:v>
                </c:pt>
                <c:pt idx="22">
                  <c:v>4.1546382085607068</c:v>
                </c:pt>
              </c:numCache>
            </c:numRef>
          </c:xVal>
          <c:yVal>
            <c:numRef>
              <c:f>ВБП_цикл!$AC$4:$AC$26</c:f>
              <c:numCache>
                <c:formatCode>General</c:formatCode>
                <c:ptCount val="23"/>
                <c:pt idx="0">
                  <c:v>9.2947079921993225</c:v>
                </c:pt>
                <c:pt idx="1">
                  <c:v>10.839611111140757</c:v>
                </c:pt>
                <c:pt idx="2">
                  <c:v>11.804528710919818</c:v>
                </c:pt>
                <c:pt idx="3">
                  <c:v>13.633477145208225</c:v>
                </c:pt>
                <c:pt idx="4">
                  <c:v>15.187555276527439</c:v>
                </c:pt>
                <c:pt idx="5">
                  <c:v>16.578811712533618</c:v>
                </c:pt>
                <c:pt idx="6">
                  <c:v>18.218915127987813</c:v>
                </c:pt>
                <c:pt idx="7">
                  <c:v>19.949278853614274</c:v>
                </c:pt>
                <c:pt idx="8">
                  <c:v>21.611696616713019</c:v>
                </c:pt>
                <c:pt idx="9">
                  <c:v>23.18994676944995</c:v>
                </c:pt>
                <c:pt idx="10">
                  <c:v>24.692513149574545</c:v>
                </c:pt>
                <c:pt idx="11">
                  <c:v>26.372125794772185</c:v>
                </c:pt>
                <c:pt idx="12">
                  <c:v>28.139653059596657</c:v>
                </c:pt>
                <c:pt idx="13">
                  <c:v>29.97209456743844</c:v>
                </c:pt>
                <c:pt idx="14">
                  <c:v>29.349027167559829</c:v>
                </c:pt>
                <c:pt idx="15">
                  <c:v>30.47767668811872</c:v>
                </c:pt>
                <c:pt idx="16">
                  <c:v>29.154174780984455</c:v>
                </c:pt>
                <c:pt idx="17">
                  <c:v>30.009445359132332</c:v>
                </c:pt>
                <c:pt idx="18">
                  <c:v>30.829123510416075</c:v>
                </c:pt>
                <c:pt idx="19">
                  <c:v>24.911290627659447</c:v>
                </c:pt>
                <c:pt idx="20">
                  <c:v>7.7689264565586704</c:v>
                </c:pt>
                <c:pt idx="21">
                  <c:v>0.22161058646241327</c:v>
                </c:pt>
                <c:pt idx="22">
                  <c:v>0</c:v>
                </c:pt>
              </c:numCache>
            </c:numRef>
          </c:yVal>
        </c:ser>
        <c:axId val="87132800"/>
        <c:axId val="87147264"/>
      </c:scatterChart>
      <c:valAx>
        <c:axId val="87132800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работы, с</a:t>
                </a:r>
              </a:p>
            </c:rich>
          </c:tx>
          <c:layout/>
        </c:title>
        <c:numFmt formatCode="General" sourceLinked="1"/>
        <c:tickLblPos val="nextTo"/>
        <c:crossAx val="87147264"/>
        <c:crosses val="autoZero"/>
        <c:crossBetween val="midCat"/>
      </c:valAx>
      <c:valAx>
        <c:axId val="8714726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Давление</a:t>
                </a:r>
                <a:r>
                  <a:rPr lang="ru-RU" baseline="0"/>
                  <a:t>, МПа</a:t>
                </a:r>
              </a:p>
            </c:rich>
          </c:tx>
          <c:layout/>
        </c:title>
        <c:numFmt formatCode="General" sourceLinked="1"/>
        <c:tickLblPos val="nextTo"/>
        <c:crossAx val="87132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lineMarker"/>
        <c:ser>
          <c:idx val="0"/>
          <c:order val="0"/>
          <c:tx>
            <c:v>-40</c:v>
          </c:tx>
          <c:marker>
            <c:symbol val="none"/>
          </c:marker>
          <c:xVal>
            <c:numRef>
              <c:f>ВБП_цикл!$M$4:$M$26</c:f>
              <c:numCache>
                <c:formatCode>General</c:formatCode>
                <c:ptCount val="23"/>
                <c:pt idx="0">
                  <c:v>0</c:v>
                </c:pt>
                <c:pt idx="1">
                  <c:v>0.37603553821705832</c:v>
                </c:pt>
                <c:pt idx="2">
                  <c:v>0.6762467382275964</c:v>
                </c:pt>
                <c:pt idx="3">
                  <c:v>0.93755971612250333</c:v>
                </c:pt>
                <c:pt idx="4">
                  <c:v>1.1780224148106826</c:v>
                </c:pt>
                <c:pt idx="5">
                  <c:v>1.3909974518121049</c:v>
                </c:pt>
                <c:pt idx="6">
                  <c:v>1.5971065232473762</c:v>
                </c:pt>
                <c:pt idx="7">
                  <c:v>1.792793320102501</c:v>
                </c:pt>
                <c:pt idx="8">
                  <c:v>1.982634149635903</c:v>
                </c:pt>
                <c:pt idx="9">
                  <c:v>2.1674629979395568</c:v>
                </c:pt>
                <c:pt idx="10">
                  <c:v>2.3479880090881342</c:v>
                </c:pt>
                <c:pt idx="11">
                  <c:v>2.5247639921613665</c:v>
                </c:pt>
                <c:pt idx="12">
                  <c:v>2.6976937791090103</c:v>
                </c:pt>
                <c:pt idx="13">
                  <c:v>2.8669139573864992</c:v>
                </c:pt>
                <c:pt idx="14">
                  <c:v>3.0326029406417705</c:v>
                </c:pt>
                <c:pt idx="15">
                  <c:v>3.1994595171936289</c:v>
                </c:pt>
                <c:pt idx="16">
                  <c:v>3.3642246158224638</c:v>
                </c:pt>
                <c:pt idx="17">
                  <c:v>3.5314531429286773</c:v>
                </c:pt>
                <c:pt idx="18">
                  <c:v>3.6970731631963809</c:v>
                </c:pt>
                <c:pt idx="19">
                  <c:v>3.861208002083353</c:v>
                </c:pt>
                <c:pt idx="20">
                  <c:v>4.0374635050292893</c:v>
                </c:pt>
                <c:pt idx="21">
                  <c:v>4.3955078252232767</c:v>
                </c:pt>
                <c:pt idx="22">
                  <c:v>7.5874146459142526</c:v>
                </c:pt>
              </c:numCache>
            </c:numRef>
          </c:xVal>
          <c:yVal>
            <c:numRef>
              <c:f>ВБП_цикл!$L$4:$L$26</c:f>
              <c:numCache>
                <c:formatCode>General</c:formatCode>
                <c:ptCount val="23"/>
                <c:pt idx="0">
                  <c:v>298.31648004456139</c:v>
                </c:pt>
                <c:pt idx="1">
                  <c:v>419.06874228766003</c:v>
                </c:pt>
                <c:pt idx="2">
                  <c:v>515.41699628269123</c:v>
                </c:pt>
                <c:pt idx="3">
                  <c:v>628.27449530812839</c:v>
                </c:pt>
                <c:pt idx="4">
                  <c:v>766.96341573525024</c:v>
                </c:pt>
                <c:pt idx="5">
                  <c:v>841.74652780950942</c:v>
                </c:pt>
                <c:pt idx="6">
                  <c:v>945.93807729356877</c:v>
                </c:pt>
                <c:pt idx="7">
                  <c:v>1037.1047835317165</c:v>
                </c:pt>
                <c:pt idx="8">
                  <c:v>1124.6329959867871</c:v>
                </c:pt>
                <c:pt idx="9">
                  <c:v>1207.6745092932276</c:v>
                </c:pt>
                <c:pt idx="10">
                  <c:v>1286.6828978528658</c:v>
                </c:pt>
                <c:pt idx="11">
                  <c:v>1374.9414086690333</c:v>
                </c:pt>
                <c:pt idx="12">
                  <c:v>1467.7516991857105</c:v>
                </c:pt>
                <c:pt idx="13">
                  <c:v>1563.897284764485</c:v>
                </c:pt>
                <c:pt idx="14">
                  <c:v>1531.2141686264911</c:v>
                </c:pt>
                <c:pt idx="15">
                  <c:v>1590.4113965283159</c:v>
                </c:pt>
                <c:pt idx="16">
                  <c:v>1520.991389272149</c:v>
                </c:pt>
                <c:pt idx="17">
                  <c:v>1565.8562552553828</c:v>
                </c:pt>
                <c:pt idx="18">
                  <c:v>1608.8389183428201</c:v>
                </c:pt>
                <c:pt idx="19">
                  <c:v>1298.1825432282951</c:v>
                </c:pt>
                <c:pt idx="20">
                  <c:v>288.68147669319376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</c:ser>
        <c:ser>
          <c:idx val="1"/>
          <c:order val="1"/>
          <c:tx>
            <c:v>20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ВБП_цикл!$Y$4:$Y$26</c:f>
              <c:numCache>
                <c:formatCode>General</c:formatCode>
                <c:ptCount val="23"/>
                <c:pt idx="0">
                  <c:v>0</c:v>
                </c:pt>
                <c:pt idx="1">
                  <c:v>0.18377711115887665</c:v>
                </c:pt>
                <c:pt idx="2">
                  <c:v>0.35578706226350187</c:v>
                </c:pt>
                <c:pt idx="3">
                  <c:v>0.52022182326720834</c:v>
                </c:pt>
                <c:pt idx="4">
                  <c:v>0.67135218091319071</c:v>
                </c:pt>
                <c:pt idx="5">
                  <c:v>0.81686796687777008</c:v>
                </c:pt>
                <c:pt idx="6">
                  <c:v>0.9580356025379051</c:v>
                </c:pt>
                <c:pt idx="7">
                  <c:v>1.0946684767568156</c:v>
                </c:pt>
                <c:pt idx="8">
                  <c:v>1.2270772418688343</c:v>
                </c:pt>
                <c:pt idx="9">
                  <c:v>1.3558681713324923</c:v>
                </c:pt>
                <c:pt idx="10">
                  <c:v>1.4815551988022717</c:v>
                </c:pt>
                <c:pt idx="11">
                  <c:v>1.6045405825739789</c:v>
                </c:pt>
                <c:pt idx="12">
                  <c:v>1.7247564097380126</c:v>
                </c:pt>
                <c:pt idx="13">
                  <c:v>1.8423030996392507</c:v>
                </c:pt>
                <c:pt idx="14">
                  <c:v>1.9573109486557301</c:v>
                </c:pt>
                <c:pt idx="15">
                  <c:v>2.073158057944092</c:v>
                </c:pt>
                <c:pt idx="16">
                  <c:v>2.187501971647702</c:v>
                </c:pt>
                <c:pt idx="17">
                  <c:v>2.3036164809121393</c:v>
                </c:pt>
                <c:pt idx="18">
                  <c:v>2.4185747662124388</c:v>
                </c:pt>
                <c:pt idx="19">
                  <c:v>2.5324658291717514</c:v>
                </c:pt>
                <c:pt idx="20">
                  <c:v>2.6550763013495216</c:v>
                </c:pt>
                <c:pt idx="21">
                  <c:v>2.8567051457442054</c:v>
                </c:pt>
                <c:pt idx="22">
                  <c:v>4.2556392621253423</c:v>
                </c:pt>
              </c:numCache>
            </c:numRef>
          </c:xVal>
          <c:yVal>
            <c:numRef>
              <c:f>ВБП_цикл!$X$4:$X$26</c:f>
              <c:numCache>
                <c:formatCode>General</c:formatCode>
                <c:ptCount val="23"/>
                <c:pt idx="0">
                  <c:v>1015.8987647813649</c:v>
                </c:pt>
                <c:pt idx="1">
                  <c:v>1190.6639255772325</c:v>
                </c:pt>
                <c:pt idx="2">
                  <c:v>1322.0189128416771</c:v>
                </c:pt>
                <c:pt idx="3">
                  <c:v>1605.5066029494619</c:v>
                </c:pt>
                <c:pt idx="4">
                  <c:v>1787.0531251362604</c:v>
                </c:pt>
                <c:pt idx="5">
                  <c:v>1953.2689024360432</c:v>
                </c:pt>
                <c:pt idx="6">
                  <c:v>2149.1686727205797</c:v>
                </c:pt>
                <c:pt idx="7">
                  <c:v>2355.7823428958336</c:v>
                </c:pt>
                <c:pt idx="8">
                  <c:v>2554.2087751150548</c:v>
                </c:pt>
                <c:pt idx="9">
                  <c:v>2742.515956572041</c:v>
                </c:pt>
                <c:pt idx="10">
                  <c:v>2921.7235287082963</c:v>
                </c:pt>
                <c:pt idx="11">
                  <c:v>3121.9640804044584</c:v>
                </c:pt>
                <c:pt idx="12">
                  <c:v>3332.5890813685114</c:v>
                </c:pt>
                <c:pt idx="13">
                  <c:v>3550.8435422004741</c:v>
                </c:pt>
                <c:pt idx="14">
                  <c:v>3476.6447422193105</c:v>
                </c:pt>
                <c:pt idx="15">
                  <c:v>3611.0422289216231</c:v>
                </c:pt>
                <c:pt idx="16">
                  <c:v>3453.4379156447753</c:v>
                </c:pt>
                <c:pt idx="17">
                  <c:v>3555.2911116503851</c:v>
                </c:pt>
                <c:pt idx="18">
                  <c:v>3652.8834512043541</c:v>
                </c:pt>
                <c:pt idx="19">
                  <c:v>2947.8108104997095</c:v>
                </c:pt>
                <c:pt idx="20">
                  <c:v>847.47143894636326</c:v>
                </c:pt>
                <c:pt idx="21">
                  <c:v>16.238104067783294</c:v>
                </c:pt>
                <c:pt idx="22">
                  <c:v>0</c:v>
                </c:pt>
              </c:numCache>
            </c:numRef>
          </c:yVal>
        </c:ser>
        <c:ser>
          <c:idx val="2"/>
          <c:order val="2"/>
          <c:tx>
            <c:v>50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ВБП_цикл!$AK$4:$AK$26</c:f>
              <c:numCache>
                <c:formatCode>General</c:formatCode>
                <c:ptCount val="23"/>
                <c:pt idx="0">
                  <c:v>0</c:v>
                </c:pt>
                <c:pt idx="1">
                  <c:v>0.16356785031846882</c:v>
                </c:pt>
                <c:pt idx="2">
                  <c:v>0.31516775005178921</c:v>
                </c:pt>
                <c:pt idx="3">
                  <c:v>0.46193380903315251</c:v>
                </c:pt>
                <c:pt idx="4">
                  <c:v>0.6022624860772462</c:v>
                </c:pt>
                <c:pt idx="5">
                  <c:v>0.73680599450981821</c:v>
                </c:pt>
                <c:pt idx="6">
                  <c:v>0.86682809945820316</c:v>
                </c:pt>
                <c:pt idx="7">
                  <c:v>0.9921535395555634</c:v>
                </c:pt>
                <c:pt idx="8">
                  <c:v>1.1131217929012869</c:v>
                </c:pt>
                <c:pt idx="9">
                  <c:v>1.230372200740578</c:v>
                </c:pt>
                <c:pt idx="10">
                  <c:v>1.3444434282946864</c:v>
                </c:pt>
                <c:pt idx="11">
                  <c:v>1.4557555738157208</c:v>
                </c:pt>
                <c:pt idx="12">
                  <c:v>1.5642472488006918</c:v>
                </c:pt>
                <c:pt idx="13">
                  <c:v>1.6700285025922998</c:v>
                </c:pt>
                <c:pt idx="14">
                  <c:v>1.7732388765433591</c:v>
                </c:pt>
                <c:pt idx="15">
                  <c:v>1.8772983134123156</c:v>
                </c:pt>
                <c:pt idx="16">
                  <c:v>1.9798375533220127</c:v>
                </c:pt>
                <c:pt idx="17">
                  <c:v>2.0841676775793352</c:v>
                </c:pt>
                <c:pt idx="18">
                  <c:v>2.1873279334135365</c:v>
                </c:pt>
                <c:pt idx="19">
                  <c:v>2.2894096957383141</c:v>
                </c:pt>
                <c:pt idx="20">
                  <c:v>2.4003395619564811</c:v>
                </c:pt>
                <c:pt idx="21">
                  <c:v>2.5817372180193647</c:v>
                </c:pt>
                <c:pt idx="22">
                  <c:v>4.1546382085607068</c:v>
                </c:pt>
              </c:numCache>
            </c:numRef>
          </c:xVal>
          <c:yVal>
            <c:numRef>
              <c:f>ВБП_цикл!$AJ$4:$AJ$26</c:f>
              <c:numCache>
                <c:formatCode>General</c:formatCode>
                <c:ptCount val="23"/>
                <c:pt idx="0">
                  <c:v>1152.3280563747571</c:v>
                </c:pt>
                <c:pt idx="1">
                  <c:v>1358.1722676321085</c:v>
                </c:pt>
                <c:pt idx="2">
                  <c:v>1487.4635019811374</c:v>
                </c:pt>
                <c:pt idx="3">
                  <c:v>1733.8368541195537</c:v>
                </c:pt>
                <c:pt idx="4">
                  <c:v>1944.3567428204087</c:v>
                </c:pt>
                <c:pt idx="5">
                  <c:v>2133.6181417702173</c:v>
                </c:pt>
                <c:pt idx="6">
                  <c:v>2357.5924752785872</c:v>
                </c:pt>
                <c:pt idx="7">
                  <c:v>2594.7967246926837</c:v>
                </c:pt>
                <c:pt idx="8">
                  <c:v>2823.4719241697762</c:v>
                </c:pt>
                <c:pt idx="9">
                  <c:v>3041.215288633744</c:v>
                </c:pt>
                <c:pt idx="10">
                  <c:v>3249.053265261296</c:v>
                </c:pt>
                <c:pt idx="11">
                  <c:v>3481.951956962821</c:v>
                </c:pt>
                <c:pt idx="12">
                  <c:v>3727.6432978311445</c:v>
                </c:pt>
                <c:pt idx="13">
                  <c:v>3982.9607737635029</c:v>
                </c:pt>
                <c:pt idx="14">
                  <c:v>3896.081652226012</c:v>
                </c:pt>
                <c:pt idx="15">
                  <c:v>4053.5063985338652</c:v>
                </c:pt>
                <c:pt idx="16">
                  <c:v>3868.9256318196049</c:v>
                </c:pt>
                <c:pt idx="17">
                  <c:v>3988.1709893393595</c:v>
                </c:pt>
                <c:pt idx="18">
                  <c:v>4102.5700295494371</c:v>
                </c:pt>
                <c:pt idx="19">
                  <c:v>3279.3562158455275</c:v>
                </c:pt>
                <c:pt idx="20">
                  <c:v>950.69023578109568</c:v>
                </c:pt>
                <c:pt idx="21">
                  <c:v>13.595443670547645</c:v>
                </c:pt>
                <c:pt idx="22">
                  <c:v>0</c:v>
                </c:pt>
              </c:numCache>
            </c:numRef>
          </c:yVal>
        </c:ser>
        <c:axId val="87317504"/>
        <c:axId val="87340160"/>
      </c:scatterChart>
      <c:valAx>
        <c:axId val="8731750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работы, с</a:t>
                </a:r>
              </a:p>
            </c:rich>
          </c:tx>
          <c:layout/>
        </c:title>
        <c:numFmt formatCode="General" sourceLinked="1"/>
        <c:tickLblPos val="nextTo"/>
        <c:crossAx val="87340160"/>
        <c:crosses val="autoZero"/>
        <c:crossBetween val="midCat"/>
      </c:valAx>
      <c:valAx>
        <c:axId val="87340160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Тяга,</a:t>
                </a:r>
                <a:r>
                  <a:rPr lang="ru-RU" baseline="0"/>
                  <a:t> кГс</a:t>
                </a:r>
              </a:p>
            </c:rich>
          </c:tx>
          <c:layout/>
        </c:title>
        <c:numFmt formatCode="General" sourceLinked="1"/>
        <c:tickLblPos val="nextTo"/>
        <c:crossAx val="87317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lineMarker"/>
        <c:ser>
          <c:idx val="0"/>
          <c:order val="0"/>
          <c:tx>
            <c:v>-40</c:v>
          </c:tx>
          <c:marker>
            <c:symbol val="none"/>
          </c:marker>
          <c:xVal>
            <c:numRef>
              <c:f>ВБП_цикл!$M$4:$M$26</c:f>
              <c:numCache>
                <c:formatCode>General</c:formatCode>
                <c:ptCount val="23"/>
                <c:pt idx="0">
                  <c:v>0</c:v>
                </c:pt>
                <c:pt idx="1">
                  <c:v>0.37603553821705832</c:v>
                </c:pt>
                <c:pt idx="2">
                  <c:v>0.6762467382275964</c:v>
                </c:pt>
                <c:pt idx="3">
                  <c:v>0.93755971612250333</c:v>
                </c:pt>
                <c:pt idx="4">
                  <c:v>1.1780224148106826</c:v>
                </c:pt>
                <c:pt idx="5">
                  <c:v>1.3909974518121049</c:v>
                </c:pt>
                <c:pt idx="6">
                  <c:v>1.5971065232473762</c:v>
                </c:pt>
                <c:pt idx="7">
                  <c:v>1.792793320102501</c:v>
                </c:pt>
                <c:pt idx="8">
                  <c:v>1.982634149635903</c:v>
                </c:pt>
                <c:pt idx="9">
                  <c:v>2.1674629979395568</c:v>
                </c:pt>
                <c:pt idx="10">
                  <c:v>2.3479880090881342</c:v>
                </c:pt>
                <c:pt idx="11">
                  <c:v>2.5247639921613665</c:v>
                </c:pt>
                <c:pt idx="12">
                  <c:v>2.6976937791090103</c:v>
                </c:pt>
                <c:pt idx="13">
                  <c:v>2.8669139573864992</c:v>
                </c:pt>
                <c:pt idx="14">
                  <c:v>3.0326029406417705</c:v>
                </c:pt>
                <c:pt idx="15">
                  <c:v>3.1994595171936289</c:v>
                </c:pt>
                <c:pt idx="16">
                  <c:v>3.3642246158224638</c:v>
                </c:pt>
                <c:pt idx="17">
                  <c:v>3.5314531429286773</c:v>
                </c:pt>
                <c:pt idx="18">
                  <c:v>3.6970731631963809</c:v>
                </c:pt>
                <c:pt idx="19">
                  <c:v>3.861208002083353</c:v>
                </c:pt>
                <c:pt idx="20">
                  <c:v>4.0374635050292893</c:v>
                </c:pt>
                <c:pt idx="21">
                  <c:v>4.3955078252232767</c:v>
                </c:pt>
                <c:pt idx="22">
                  <c:v>7.5874146459142526</c:v>
                </c:pt>
              </c:numCache>
            </c:numRef>
          </c:xVal>
          <c:yVal>
            <c:numRef>
              <c:f>ВБП_цикл!$F$4:$F$26</c:f>
              <c:numCache>
                <c:formatCode>General</c:formatCode>
                <c:ptCount val="23"/>
                <c:pt idx="0">
                  <c:v>6.6483077951981482</c:v>
                </c:pt>
                <c:pt idx="1">
                  <c:v>8.3274707936021191</c:v>
                </c:pt>
                <c:pt idx="2">
                  <c:v>9.5670717166042696</c:v>
                </c:pt>
                <c:pt idx="3">
                  <c:v>10.396622900926033</c:v>
                </c:pt>
                <c:pt idx="4">
                  <c:v>11.738464916821702</c:v>
                </c:pt>
                <c:pt idx="5">
                  <c:v>12.129500087457947</c:v>
                </c:pt>
                <c:pt idx="6">
                  <c:v>12.775517000520249</c:v>
                </c:pt>
                <c:pt idx="7">
                  <c:v>13.168926864387364</c:v>
                </c:pt>
                <c:pt idx="8">
                  <c:v>13.526027040393457</c:v>
                </c:pt>
                <c:pt idx="9">
                  <c:v>13.848496582794416</c:v>
                </c:pt>
                <c:pt idx="10">
                  <c:v>14.142192601832869</c:v>
                </c:pt>
                <c:pt idx="11">
                  <c:v>14.456734401441777</c:v>
                </c:pt>
                <c:pt idx="12">
                  <c:v>14.7736518507886</c:v>
                </c:pt>
                <c:pt idx="13">
                  <c:v>15.088510719800448</c:v>
                </c:pt>
                <c:pt idx="14">
                  <c:v>14.982927563679288</c:v>
                </c:pt>
                <c:pt idx="15">
                  <c:v>15.173116277687726</c:v>
                </c:pt>
                <c:pt idx="16">
                  <c:v>14.949602458748847</c:v>
                </c:pt>
                <c:pt idx="17">
                  <c:v>15.094793467354174</c:v>
                </c:pt>
                <c:pt idx="18">
                  <c:v>15.231379376572042</c:v>
                </c:pt>
                <c:pt idx="19">
                  <c:v>14.183954306191733</c:v>
                </c:pt>
                <c:pt idx="20">
                  <c:v>6.9823758093565331</c:v>
                </c:pt>
                <c:pt idx="21">
                  <c:v>0.78323088374453431</c:v>
                </c:pt>
                <c:pt idx="22">
                  <c:v>0</c:v>
                </c:pt>
              </c:numCache>
            </c:numRef>
          </c:yVal>
        </c:ser>
        <c:ser>
          <c:idx val="1"/>
          <c:order val="1"/>
          <c:tx>
            <c:v>20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ВБП_цикл!$Y$4:$Y$26</c:f>
              <c:numCache>
                <c:formatCode>General</c:formatCode>
                <c:ptCount val="23"/>
                <c:pt idx="0">
                  <c:v>0</c:v>
                </c:pt>
                <c:pt idx="1">
                  <c:v>0.18377711115887665</c:v>
                </c:pt>
                <c:pt idx="2">
                  <c:v>0.35578706226350187</c:v>
                </c:pt>
                <c:pt idx="3">
                  <c:v>0.52022182326720834</c:v>
                </c:pt>
                <c:pt idx="4">
                  <c:v>0.67135218091319071</c:v>
                </c:pt>
                <c:pt idx="5">
                  <c:v>0.81686796687777008</c:v>
                </c:pt>
                <c:pt idx="6">
                  <c:v>0.9580356025379051</c:v>
                </c:pt>
                <c:pt idx="7">
                  <c:v>1.0946684767568156</c:v>
                </c:pt>
                <c:pt idx="8">
                  <c:v>1.2270772418688343</c:v>
                </c:pt>
                <c:pt idx="9">
                  <c:v>1.3558681713324923</c:v>
                </c:pt>
                <c:pt idx="10">
                  <c:v>1.4815551988022717</c:v>
                </c:pt>
                <c:pt idx="11">
                  <c:v>1.6045405825739789</c:v>
                </c:pt>
                <c:pt idx="12">
                  <c:v>1.7247564097380126</c:v>
                </c:pt>
                <c:pt idx="13">
                  <c:v>1.8423030996392507</c:v>
                </c:pt>
                <c:pt idx="14">
                  <c:v>1.9573109486557301</c:v>
                </c:pt>
                <c:pt idx="15">
                  <c:v>2.073158057944092</c:v>
                </c:pt>
                <c:pt idx="16">
                  <c:v>2.187501971647702</c:v>
                </c:pt>
                <c:pt idx="17">
                  <c:v>2.3036164809121393</c:v>
                </c:pt>
                <c:pt idx="18">
                  <c:v>2.4185747662124388</c:v>
                </c:pt>
                <c:pt idx="19">
                  <c:v>2.5324658291717514</c:v>
                </c:pt>
                <c:pt idx="20">
                  <c:v>2.6550763013495216</c:v>
                </c:pt>
                <c:pt idx="21">
                  <c:v>2.8567051457442054</c:v>
                </c:pt>
                <c:pt idx="22">
                  <c:v>4.2556392621253423</c:v>
                </c:pt>
              </c:numCache>
            </c:numRef>
          </c:xVal>
          <c:yVal>
            <c:numRef>
              <c:f>ВБП_цикл!$R$4:$R$26</c:f>
              <c:numCache>
                <c:formatCode>General</c:formatCode>
                <c:ptCount val="23"/>
                <c:pt idx="0">
                  <c:v>13.603435075430758</c:v>
                </c:pt>
                <c:pt idx="1">
                  <c:v>14.534042850110295</c:v>
                </c:pt>
                <c:pt idx="2">
                  <c:v>15.203597978554232</c:v>
                </c:pt>
                <c:pt idx="3">
                  <c:v>16.542010744500214</c:v>
                </c:pt>
                <c:pt idx="4">
                  <c:v>17.180266618004843</c:v>
                </c:pt>
                <c:pt idx="5">
                  <c:v>17.709441603306434</c:v>
                </c:pt>
                <c:pt idx="6">
                  <c:v>18.297207127433687</c:v>
                </c:pt>
                <c:pt idx="7">
                  <c:v>18.880925276245755</c:v>
                </c:pt>
                <c:pt idx="8">
                  <c:v>19.411304898653182</c:v>
                </c:pt>
                <c:pt idx="9">
                  <c:v>19.89067647097556</c:v>
                </c:pt>
                <c:pt idx="10">
                  <c:v>20.327618805830202</c:v>
                </c:pt>
                <c:pt idx="11">
                  <c:v>20.795930610607272</c:v>
                </c:pt>
                <c:pt idx="12">
                  <c:v>21.268144616411423</c:v>
                </c:pt>
                <c:pt idx="13">
                  <c:v>21.737646790018434</c:v>
                </c:pt>
                <c:pt idx="14">
                  <c:v>21.580167302898321</c:v>
                </c:pt>
                <c:pt idx="15">
                  <c:v>21.863865937632973</c:v>
                </c:pt>
                <c:pt idx="16">
                  <c:v>21.530470359277306</c:v>
                </c:pt>
                <c:pt idx="17">
                  <c:v>21.747018872710054</c:v>
                </c:pt>
                <c:pt idx="18">
                  <c:v>21.950800484609772</c:v>
                </c:pt>
                <c:pt idx="19">
                  <c:v>20.389775486512317</c:v>
                </c:pt>
                <c:pt idx="20">
                  <c:v>12.399019631865311</c:v>
                </c:pt>
                <c:pt idx="21">
                  <c:v>1.7870748670188843</c:v>
                </c:pt>
                <c:pt idx="22">
                  <c:v>0</c:v>
                </c:pt>
              </c:numCache>
            </c:numRef>
          </c:yVal>
        </c:ser>
        <c:ser>
          <c:idx val="2"/>
          <c:order val="2"/>
          <c:tx>
            <c:v>50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ВБП_цикл!$AK$4:$AK$26</c:f>
              <c:numCache>
                <c:formatCode>General</c:formatCode>
                <c:ptCount val="23"/>
                <c:pt idx="0">
                  <c:v>0</c:v>
                </c:pt>
                <c:pt idx="1">
                  <c:v>0.16356785031846882</c:v>
                </c:pt>
                <c:pt idx="2">
                  <c:v>0.31516775005178921</c:v>
                </c:pt>
                <c:pt idx="3">
                  <c:v>0.46193380903315251</c:v>
                </c:pt>
                <c:pt idx="4">
                  <c:v>0.6022624860772462</c:v>
                </c:pt>
                <c:pt idx="5">
                  <c:v>0.73680599450981821</c:v>
                </c:pt>
                <c:pt idx="6">
                  <c:v>0.86682809945820316</c:v>
                </c:pt>
                <c:pt idx="7">
                  <c:v>0.9921535395555634</c:v>
                </c:pt>
                <c:pt idx="8">
                  <c:v>1.1131217929012869</c:v>
                </c:pt>
                <c:pt idx="9">
                  <c:v>1.230372200740578</c:v>
                </c:pt>
                <c:pt idx="10">
                  <c:v>1.3444434282946864</c:v>
                </c:pt>
                <c:pt idx="11">
                  <c:v>1.4557555738157208</c:v>
                </c:pt>
                <c:pt idx="12">
                  <c:v>1.5642472488006918</c:v>
                </c:pt>
                <c:pt idx="13">
                  <c:v>1.6700285025922998</c:v>
                </c:pt>
                <c:pt idx="14">
                  <c:v>1.7732388765433591</c:v>
                </c:pt>
                <c:pt idx="15">
                  <c:v>1.8772983134123156</c:v>
                </c:pt>
                <c:pt idx="16">
                  <c:v>1.9798375533220127</c:v>
                </c:pt>
                <c:pt idx="17">
                  <c:v>2.0841676775793352</c:v>
                </c:pt>
                <c:pt idx="18">
                  <c:v>2.1873279334135365</c:v>
                </c:pt>
                <c:pt idx="19">
                  <c:v>2.2894096957383141</c:v>
                </c:pt>
                <c:pt idx="20">
                  <c:v>2.4003395619564811</c:v>
                </c:pt>
                <c:pt idx="21">
                  <c:v>2.5817372180193647</c:v>
                </c:pt>
                <c:pt idx="22">
                  <c:v>4.1546382085607068</c:v>
                </c:pt>
              </c:numCache>
            </c:numRef>
          </c:xVal>
          <c:yVal>
            <c:numRef>
              <c:f>ВБП_цикл!$AD$4:$AD$26</c:f>
              <c:numCache>
                <c:formatCode>General</c:formatCode>
                <c:ptCount val="23"/>
                <c:pt idx="0">
                  <c:v>15.284177148091548</c:v>
                </c:pt>
                <c:pt idx="1">
                  <c:v>16.490776078333521</c:v>
                </c:pt>
                <c:pt idx="2">
                  <c:v>17.033911091919801</c:v>
                </c:pt>
                <c:pt idx="3">
                  <c:v>17.815317956816884</c:v>
                </c:pt>
                <c:pt idx="4">
                  <c:v>18.581349848275313</c:v>
                </c:pt>
                <c:pt idx="5">
                  <c:v>19.227499823914002</c:v>
                </c:pt>
                <c:pt idx="6">
                  <c:v>19.948064798797848</c:v>
                </c:pt>
                <c:pt idx="7">
                  <c:v>20.666579295437792</c:v>
                </c:pt>
                <c:pt idx="8">
                  <c:v>21.321887454981102</c:v>
                </c:pt>
                <c:pt idx="9">
                  <c:v>21.916131294494487</c:v>
                </c:pt>
                <c:pt idx="10">
                  <c:v>22.459364054999551</c:v>
                </c:pt>
                <c:pt idx="11">
                  <c:v>23.043242722045907</c:v>
                </c:pt>
                <c:pt idx="12">
                  <c:v>23.633677144015223</c:v>
                </c:pt>
                <c:pt idx="13">
                  <c:v>24.222371301410664</c:v>
                </c:pt>
                <c:pt idx="14">
                  <c:v>24.024731203843491</c:v>
                </c:pt>
                <c:pt idx="15">
                  <c:v>24.380910197907298</c:v>
                </c:pt>
                <c:pt idx="16">
                  <c:v>23.962398375314251</c:v>
                </c:pt>
                <c:pt idx="17">
                  <c:v>24.234139202000271</c:v>
                </c:pt>
                <c:pt idx="18">
                  <c:v>24.490172809185438</c:v>
                </c:pt>
                <c:pt idx="19">
                  <c:v>22.53676205723729</c:v>
                </c:pt>
                <c:pt idx="20">
                  <c:v>13.781875985946293</c:v>
                </c:pt>
                <c:pt idx="21">
                  <c:v>1.5894198141102194</c:v>
                </c:pt>
                <c:pt idx="22">
                  <c:v>0</c:v>
                </c:pt>
              </c:numCache>
            </c:numRef>
          </c:yVal>
        </c:ser>
        <c:axId val="87378176"/>
        <c:axId val="87380352"/>
      </c:scatterChart>
      <c:valAx>
        <c:axId val="8737817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работы, с</a:t>
                </a:r>
              </a:p>
            </c:rich>
          </c:tx>
          <c:layout/>
        </c:title>
        <c:numFmt formatCode="General" sourceLinked="1"/>
        <c:tickLblPos val="nextTo"/>
        <c:crossAx val="87380352"/>
        <c:crosses val="autoZero"/>
        <c:crossBetween val="midCat"/>
      </c:valAx>
      <c:valAx>
        <c:axId val="8738035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Скорость</a:t>
                </a:r>
                <a:r>
                  <a:rPr lang="ru-RU" baseline="0"/>
                  <a:t> горения, мм/с 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873781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U</a:t>
            </a:r>
            <a:r>
              <a:rPr lang="ru-RU" baseline="0"/>
              <a:t>г(</a:t>
            </a:r>
            <a:r>
              <a:rPr lang="en-US" baseline="0"/>
              <a:t>e)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Заряд 1 - канальный</c:v>
          </c:tx>
          <c:marker>
            <c:symbol val="none"/>
          </c:marker>
          <c:cat>
            <c:numRef>
              <c:f>ВБП!$B$36:$B$59</c:f>
              <c:numCache>
                <c:formatCode>General</c:formatCode>
                <c:ptCount val="2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</c:numCache>
            </c:numRef>
          </c:cat>
          <c:val>
            <c:numRef>
              <c:f>ВБП!$I$3:$I$26</c:f>
              <c:numCache>
                <c:formatCode>General</c:formatCode>
                <c:ptCount val="24"/>
                <c:pt idx="0">
                  <c:v>6.5736136194440853</c:v>
                </c:pt>
                <c:pt idx="1">
                  <c:v>6.760657288512566</c:v>
                </c:pt>
                <c:pt idx="2">
                  <c:v>6.9266567491725901</c:v>
                </c:pt>
                <c:pt idx="3">
                  <c:v>7.0818380531096379</c:v>
                </c:pt>
                <c:pt idx="4">
                  <c:v>7.2223974520261631</c:v>
                </c:pt>
                <c:pt idx="5">
                  <c:v>7.3528978296793328</c:v>
                </c:pt>
                <c:pt idx="6">
                  <c:v>7.4749961624816459</c:v>
                </c:pt>
                <c:pt idx="7">
                  <c:v>7.5896912239068213</c:v>
                </c:pt>
                <c:pt idx="8">
                  <c:v>7.6978685592842009</c:v>
                </c:pt>
                <c:pt idx="9">
                  <c:v>7.8004883596961481</c:v>
                </c:pt>
                <c:pt idx="10">
                  <c:v>7.898196914562762</c:v>
                </c:pt>
                <c:pt idx="11">
                  <c:v>7.9905312971482019</c:v>
                </c:pt>
                <c:pt idx="12">
                  <c:v>8.0760623404636185</c:v>
                </c:pt>
                <c:pt idx="13">
                  <c:v>8.1556741780537223</c:v>
                </c:pt>
                <c:pt idx="14">
                  <c:v>8.2267038437058932</c:v>
                </c:pt>
                <c:pt idx="15">
                  <c:v>8.281778780471269</c:v>
                </c:pt>
                <c:pt idx="16">
                  <c:v>8.3352952116194263</c:v>
                </c:pt>
                <c:pt idx="17">
                  <c:v>8.3905409658859806</c:v>
                </c:pt>
                <c:pt idx="18">
                  <c:v>8.4453967806428203</c:v>
                </c:pt>
                <c:pt idx="19">
                  <c:v>8.3974139879542342</c:v>
                </c:pt>
                <c:pt idx="20">
                  <c:v>8.4441706638807545</c:v>
                </c:pt>
                <c:pt idx="21">
                  <c:v>8.4918106181975546</c:v>
                </c:pt>
                <c:pt idx="22">
                  <c:v>7.9038445130891324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v>Заряд 2 - канальный с компенсатором</c:v>
          </c:tx>
          <c:marker>
            <c:symbol val="none"/>
          </c:marker>
          <c:val>
            <c:numRef>
              <c:f>ВБП!$I$36:$I$59</c:f>
              <c:numCache>
                <c:formatCode>General</c:formatCode>
                <c:ptCount val="24"/>
                <c:pt idx="0">
                  <c:v>6.598401998806712</c:v>
                </c:pt>
                <c:pt idx="1">
                  <c:v>6.7705242440943261</c:v>
                </c:pt>
                <c:pt idx="2">
                  <c:v>6.9376522984984401</c:v>
                </c:pt>
                <c:pt idx="3">
                  <c:v>7.0900184815103984</c:v>
                </c:pt>
                <c:pt idx="4">
                  <c:v>7.2300147374032333</c:v>
                </c:pt>
                <c:pt idx="5">
                  <c:v>7.3602645841633283</c:v>
                </c:pt>
                <c:pt idx="6">
                  <c:v>7.482080030976392</c:v>
                </c:pt>
                <c:pt idx="7">
                  <c:v>7.5965382326069308</c:v>
                </c:pt>
                <c:pt idx="8">
                  <c:v>7.7045162337950428</c:v>
                </c:pt>
                <c:pt idx="9">
                  <c:v>7.8069602659793329</c:v>
                </c:pt>
                <c:pt idx="10">
                  <c:v>7.9045143203763057</c:v>
                </c:pt>
                <c:pt idx="11">
                  <c:v>7.9967132524008511</c:v>
                </c:pt>
                <c:pt idx="12">
                  <c:v>8.0821297293446843</c:v>
                </c:pt>
                <c:pt idx="13">
                  <c:v>8.1616430769279074</c:v>
                </c:pt>
                <c:pt idx="14">
                  <c:v>8.2330168155098917</c:v>
                </c:pt>
                <c:pt idx="15">
                  <c:v>8.2874762623702534</c:v>
                </c:pt>
                <c:pt idx="16">
                  <c:v>8.340491515617412</c:v>
                </c:pt>
                <c:pt idx="17">
                  <c:v>8.3482854568506006</c:v>
                </c:pt>
                <c:pt idx="18">
                  <c:v>8.3834090734475684</c:v>
                </c:pt>
                <c:pt idx="19">
                  <c:v>8.3974139879542342</c:v>
                </c:pt>
                <c:pt idx="20">
                  <c:v>8.4441706638807545</c:v>
                </c:pt>
                <c:pt idx="21">
                  <c:v>8.4918106181975546</c:v>
                </c:pt>
                <c:pt idx="22">
                  <c:v>7.9038454295287108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v>Заряд 3 - комбинированный</c:v>
          </c:tx>
          <c:marker>
            <c:symbol val="none"/>
          </c:marker>
          <c:val>
            <c:numRef>
              <c:f>ВБП!$I$65:$I$87</c:f>
              <c:numCache>
                <c:formatCode>General</c:formatCode>
                <c:ptCount val="23"/>
                <c:pt idx="0">
                  <c:v>7.2049587729140274</c:v>
                </c:pt>
                <c:pt idx="1">
                  <c:v>7.332200717622575</c:v>
                </c:pt>
                <c:pt idx="2">
                  <c:v>7.4120328903341068</c:v>
                </c:pt>
                <c:pt idx="3">
                  <c:v>7.5635549736000875</c:v>
                </c:pt>
                <c:pt idx="4">
                  <c:v>7.6662556588102762</c:v>
                </c:pt>
                <c:pt idx="5">
                  <c:v>7.7506691036984172</c:v>
                </c:pt>
                <c:pt idx="6">
                  <c:v>7.8425603124672074</c:v>
                </c:pt>
                <c:pt idx="7">
                  <c:v>7.9319703028044204</c:v>
                </c:pt>
                <c:pt idx="8">
                  <c:v>8.0116910430572101</c:v>
                </c:pt>
                <c:pt idx="9">
                  <c:v>8.0825557762686628</c:v>
                </c:pt>
                <c:pt idx="10">
                  <c:v>8.1462036040245067</c:v>
                </c:pt>
                <c:pt idx="11">
                  <c:v>8.2134575985479383</c:v>
                </c:pt>
                <c:pt idx="12">
                  <c:v>8.280299055234817</c:v>
                </c:pt>
                <c:pt idx="13">
                  <c:v>8.3458229296246973</c:v>
                </c:pt>
                <c:pt idx="14">
                  <c:v>8.3239467410230592</c:v>
                </c:pt>
                <c:pt idx="15">
                  <c:v>8.3632835996879944</c:v>
                </c:pt>
                <c:pt idx="16">
                  <c:v>8.317021945698917</c:v>
                </c:pt>
                <c:pt idx="17">
                  <c:v>8.3471216506488233</c:v>
                </c:pt>
                <c:pt idx="18">
                  <c:v>8.37527236081689</c:v>
                </c:pt>
                <c:pt idx="19">
                  <c:v>8.1551864862814334</c:v>
                </c:pt>
                <c:pt idx="20">
                  <c:v>7.0938915572263133</c:v>
                </c:pt>
                <c:pt idx="21">
                  <c:v>5.3274550887247143</c:v>
                </c:pt>
                <c:pt idx="22">
                  <c:v>0</c:v>
                </c:pt>
              </c:numCache>
            </c:numRef>
          </c:val>
        </c:ser>
        <c:marker val="1"/>
        <c:axId val="73089792"/>
        <c:axId val="73091328"/>
      </c:lineChart>
      <c:catAx>
        <c:axId val="73089792"/>
        <c:scaling>
          <c:orientation val="minMax"/>
        </c:scaling>
        <c:axPos val="b"/>
        <c:numFmt formatCode="General" sourceLinked="1"/>
        <c:majorTickMark val="none"/>
        <c:tickLblPos val="nextTo"/>
        <c:crossAx val="73091328"/>
        <c:crosses val="autoZero"/>
        <c:auto val="1"/>
        <c:lblAlgn val="ctr"/>
        <c:lblOffset val="100"/>
      </c:catAx>
      <c:valAx>
        <c:axId val="73091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Скорость</a:t>
                </a:r>
                <a:r>
                  <a:rPr lang="ru-RU" baseline="0"/>
                  <a:t> горения, мм/с</a:t>
                </a:r>
              </a:p>
            </c:rich>
          </c:tx>
        </c:title>
        <c:numFmt formatCode="General" sourceLinked="1"/>
        <c:majorTickMark val="none"/>
        <c:tickLblPos val="nextTo"/>
        <c:crossAx val="730897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lineMarker"/>
        <c:ser>
          <c:idx val="0"/>
          <c:order val="0"/>
          <c:tx>
            <c:v>-40</c:v>
          </c:tx>
          <c:marker>
            <c:symbol val="none"/>
          </c:marker>
          <c:xVal>
            <c:numRef>
              <c:f>ВБП_цикл!$M$4:$M$26</c:f>
              <c:numCache>
                <c:formatCode>General</c:formatCode>
                <c:ptCount val="23"/>
                <c:pt idx="0">
                  <c:v>0</c:v>
                </c:pt>
                <c:pt idx="1">
                  <c:v>0.37603553821705832</c:v>
                </c:pt>
                <c:pt idx="2">
                  <c:v>0.6762467382275964</c:v>
                </c:pt>
                <c:pt idx="3">
                  <c:v>0.93755971612250333</c:v>
                </c:pt>
                <c:pt idx="4">
                  <c:v>1.1780224148106826</c:v>
                </c:pt>
                <c:pt idx="5">
                  <c:v>1.3909974518121049</c:v>
                </c:pt>
                <c:pt idx="6">
                  <c:v>1.5971065232473762</c:v>
                </c:pt>
                <c:pt idx="7">
                  <c:v>1.792793320102501</c:v>
                </c:pt>
                <c:pt idx="8">
                  <c:v>1.982634149635903</c:v>
                </c:pt>
                <c:pt idx="9">
                  <c:v>2.1674629979395568</c:v>
                </c:pt>
                <c:pt idx="10">
                  <c:v>2.3479880090881342</c:v>
                </c:pt>
                <c:pt idx="11">
                  <c:v>2.5247639921613665</c:v>
                </c:pt>
                <c:pt idx="12">
                  <c:v>2.6976937791090103</c:v>
                </c:pt>
                <c:pt idx="13">
                  <c:v>2.8669139573864992</c:v>
                </c:pt>
                <c:pt idx="14">
                  <c:v>3.0326029406417705</c:v>
                </c:pt>
                <c:pt idx="15">
                  <c:v>3.1994595171936289</c:v>
                </c:pt>
                <c:pt idx="16">
                  <c:v>3.3642246158224638</c:v>
                </c:pt>
                <c:pt idx="17">
                  <c:v>3.5314531429286773</c:v>
                </c:pt>
                <c:pt idx="18">
                  <c:v>3.6970731631963809</c:v>
                </c:pt>
                <c:pt idx="19">
                  <c:v>3.861208002083353</c:v>
                </c:pt>
                <c:pt idx="20">
                  <c:v>4.0374635050292893</c:v>
                </c:pt>
                <c:pt idx="21">
                  <c:v>4.3955078252232767</c:v>
                </c:pt>
                <c:pt idx="22">
                  <c:v>7.5874146459142526</c:v>
                </c:pt>
              </c:numCache>
            </c:numRef>
          </c:xVal>
          <c:yVal>
            <c:numRef>
              <c:f>ВБП_цикл!$D$4:$D$26</c:f>
              <c:numCache>
                <c:formatCode>General</c:formatCode>
                <c:ptCount val="23"/>
                <c:pt idx="0">
                  <c:v>26.328525524812012</c:v>
                </c:pt>
                <c:pt idx="1">
                  <c:v>35.82293838976441</c:v>
                </c:pt>
                <c:pt idx="2">
                  <c:v>43.279922571236263</c:v>
                </c:pt>
                <c:pt idx="3">
                  <c:v>51.916921331821797</c:v>
                </c:pt>
                <c:pt idx="4">
                  <c:v>62.41941356457194</c:v>
                </c:pt>
                <c:pt idx="5">
                  <c:v>68.04108833280138</c:v>
                </c:pt>
                <c:pt idx="6">
                  <c:v>75.832795871408834</c:v>
                </c:pt>
                <c:pt idx="7">
                  <c:v>82.616316851552739</c:v>
                </c:pt>
                <c:pt idx="8">
                  <c:v>89.102585991061503</c:v>
                </c:pt>
                <c:pt idx="9">
                  <c:v>95.234724113946839</c:v>
                </c:pt>
                <c:pt idx="10">
                  <c:v>101.05118902132565</c:v>
                </c:pt>
                <c:pt idx="11">
                  <c:v>107.52973811638418</c:v>
                </c:pt>
                <c:pt idx="12">
                  <c:v>114.32261298605655</c:v>
                </c:pt>
                <c:pt idx="13">
                  <c:v>121.33990608928079</c:v>
                </c:pt>
                <c:pt idx="14">
                  <c:v>118.95664154155834</c:v>
                </c:pt>
                <c:pt idx="15">
                  <c:v>123.27175257472211</c:v>
                </c:pt>
                <c:pt idx="16">
                  <c:v>118.21074507069278</c:v>
                </c:pt>
                <c:pt idx="17">
                  <c:v>121.48268649611079</c:v>
                </c:pt>
                <c:pt idx="18">
                  <c:v>124.6135892264429</c:v>
                </c:pt>
                <c:pt idx="19">
                  <c:v>101.89640785602484</c:v>
                </c:pt>
                <c:pt idx="20">
                  <c:v>25.561746281356314</c:v>
                </c:pt>
                <c:pt idx="21">
                  <c:v>0.71034874265922532</c:v>
                </c:pt>
                <c:pt idx="22">
                  <c:v>0</c:v>
                </c:pt>
              </c:numCache>
            </c:numRef>
          </c:yVal>
        </c:ser>
        <c:ser>
          <c:idx val="1"/>
          <c:order val="1"/>
          <c:tx>
            <c:v>20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ВБП_цикл!$Y$4:$Y$26</c:f>
              <c:numCache>
                <c:formatCode>General</c:formatCode>
                <c:ptCount val="23"/>
                <c:pt idx="0">
                  <c:v>0</c:v>
                </c:pt>
                <c:pt idx="1">
                  <c:v>0.18377711115887665</c:v>
                </c:pt>
                <c:pt idx="2">
                  <c:v>0.35578706226350187</c:v>
                </c:pt>
                <c:pt idx="3">
                  <c:v>0.52022182326720834</c:v>
                </c:pt>
                <c:pt idx="4">
                  <c:v>0.67135218091319071</c:v>
                </c:pt>
                <c:pt idx="5">
                  <c:v>0.81686796687777008</c:v>
                </c:pt>
                <c:pt idx="6">
                  <c:v>0.9580356025379051</c:v>
                </c:pt>
                <c:pt idx="7">
                  <c:v>1.0946684767568156</c:v>
                </c:pt>
                <c:pt idx="8">
                  <c:v>1.2270772418688343</c:v>
                </c:pt>
                <c:pt idx="9">
                  <c:v>1.3558681713324923</c:v>
                </c:pt>
                <c:pt idx="10">
                  <c:v>1.4815551988022717</c:v>
                </c:pt>
                <c:pt idx="11">
                  <c:v>1.6045405825739789</c:v>
                </c:pt>
                <c:pt idx="12">
                  <c:v>1.7247564097380126</c:v>
                </c:pt>
                <c:pt idx="13">
                  <c:v>1.8423030996392507</c:v>
                </c:pt>
                <c:pt idx="14">
                  <c:v>1.9573109486557301</c:v>
                </c:pt>
                <c:pt idx="15">
                  <c:v>2.073158057944092</c:v>
                </c:pt>
                <c:pt idx="16">
                  <c:v>2.187501971647702</c:v>
                </c:pt>
                <c:pt idx="17">
                  <c:v>2.3036164809121393</c:v>
                </c:pt>
                <c:pt idx="18">
                  <c:v>2.4185747662124388</c:v>
                </c:pt>
                <c:pt idx="19">
                  <c:v>2.5324658291717514</c:v>
                </c:pt>
                <c:pt idx="20">
                  <c:v>2.6550763013495216</c:v>
                </c:pt>
                <c:pt idx="21">
                  <c:v>2.8567051457442054</c:v>
                </c:pt>
                <c:pt idx="22">
                  <c:v>4.2556392621253423</c:v>
                </c:pt>
              </c:numCache>
            </c:numRef>
          </c:xVal>
          <c:yVal>
            <c:numRef>
              <c:f>ВБП_цикл!$P$4:$P$26</c:f>
              <c:numCache>
                <c:formatCode>General</c:formatCode>
                <c:ptCount val="23"/>
                <c:pt idx="0">
                  <c:v>81.041051610731586</c:v>
                </c:pt>
                <c:pt idx="1">
                  <c:v>93.980209885597617</c:v>
                </c:pt>
                <c:pt idx="2">
                  <c:v>103.64730671709846</c:v>
                </c:pt>
                <c:pt idx="3">
                  <c:v>124.37098884365108</c:v>
                </c:pt>
                <c:pt idx="4">
                  <c:v>137.5581555795396</c:v>
                </c:pt>
                <c:pt idx="5">
                  <c:v>149.58267113535422</c:v>
                </c:pt>
                <c:pt idx="6">
                  <c:v>163.70139495798981</c:v>
                </c:pt>
                <c:pt idx="7">
                  <c:v>178.53678466457785</c:v>
                </c:pt>
                <c:pt idx="8">
                  <c:v>192.73641663847587</c:v>
                </c:pt>
                <c:pt idx="9">
                  <c:v>206.17274116925739</c:v>
                </c:pt>
                <c:pt idx="10">
                  <c:v>218.92743067792259</c:v>
                </c:pt>
                <c:pt idx="11">
                  <c:v>233.1448020388043</c:v>
                </c:pt>
                <c:pt idx="12">
                  <c:v>248.06350647547112</c:v>
                </c:pt>
                <c:pt idx="13">
                  <c:v>263.48676067414959</c:v>
                </c:pt>
                <c:pt idx="14">
                  <c:v>258.24731425865957</c:v>
                </c:pt>
                <c:pt idx="15">
                  <c:v>267.73474316488569</c:v>
                </c:pt>
                <c:pt idx="16">
                  <c:v>256.60778035436124</c:v>
                </c:pt>
                <c:pt idx="17">
                  <c:v>263.80069499740455</c:v>
                </c:pt>
                <c:pt idx="18">
                  <c:v>270.68583132148632</c:v>
                </c:pt>
                <c:pt idx="19">
                  <c:v>220.7816558361416</c:v>
                </c:pt>
                <c:pt idx="20">
                  <c:v>68.470391693594777</c:v>
                </c:pt>
                <c:pt idx="21">
                  <c:v>2.4410370886924606</c:v>
                </c:pt>
                <c:pt idx="22">
                  <c:v>0</c:v>
                </c:pt>
              </c:numCache>
            </c:numRef>
          </c:yVal>
        </c:ser>
        <c:ser>
          <c:idx val="2"/>
          <c:order val="2"/>
          <c:tx>
            <c:v>50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ВБП_цикл!$AK$4:$AK$26</c:f>
              <c:numCache>
                <c:formatCode>General</c:formatCode>
                <c:ptCount val="23"/>
                <c:pt idx="0">
                  <c:v>0</c:v>
                </c:pt>
                <c:pt idx="1">
                  <c:v>0.16356785031846882</c:v>
                </c:pt>
                <c:pt idx="2">
                  <c:v>0.31516775005178921</c:v>
                </c:pt>
                <c:pt idx="3">
                  <c:v>0.46193380903315251</c:v>
                </c:pt>
                <c:pt idx="4">
                  <c:v>0.6022624860772462</c:v>
                </c:pt>
                <c:pt idx="5">
                  <c:v>0.73680599450981821</c:v>
                </c:pt>
                <c:pt idx="6">
                  <c:v>0.86682809945820316</c:v>
                </c:pt>
                <c:pt idx="7">
                  <c:v>0.9921535395555634</c:v>
                </c:pt>
                <c:pt idx="8">
                  <c:v>1.1131217929012869</c:v>
                </c:pt>
                <c:pt idx="9">
                  <c:v>1.230372200740578</c:v>
                </c:pt>
                <c:pt idx="10">
                  <c:v>1.3444434282946864</c:v>
                </c:pt>
                <c:pt idx="11">
                  <c:v>1.4557555738157208</c:v>
                </c:pt>
                <c:pt idx="12">
                  <c:v>1.5642472488006918</c:v>
                </c:pt>
                <c:pt idx="13">
                  <c:v>1.6700285025922998</c:v>
                </c:pt>
                <c:pt idx="14">
                  <c:v>1.7732388765433591</c:v>
                </c:pt>
                <c:pt idx="15">
                  <c:v>1.8772983134123156</c:v>
                </c:pt>
                <c:pt idx="16">
                  <c:v>1.9798375533220127</c:v>
                </c:pt>
                <c:pt idx="17">
                  <c:v>2.0841676775793352</c:v>
                </c:pt>
                <c:pt idx="18">
                  <c:v>2.1873279334135365</c:v>
                </c:pt>
                <c:pt idx="19">
                  <c:v>2.2894096957383141</c:v>
                </c:pt>
                <c:pt idx="20">
                  <c:v>2.4003395619564811</c:v>
                </c:pt>
                <c:pt idx="21">
                  <c:v>2.5817372180193647</c:v>
                </c:pt>
                <c:pt idx="22">
                  <c:v>4.1546382085607068</c:v>
                </c:pt>
              </c:numCache>
            </c:numRef>
          </c:xVal>
          <c:yVal>
            <c:numRef>
              <c:f>ВБП_цикл!$AB$4:$AB$26</c:f>
              <c:numCache>
                <c:formatCode>General</c:formatCode>
                <c:ptCount val="23"/>
                <c:pt idx="0">
                  <c:v>91.149948131701478</c:v>
                </c:pt>
                <c:pt idx="1">
                  <c:v>106.30027230306848</c:v>
                </c:pt>
                <c:pt idx="2">
                  <c:v>115.76288148294182</c:v>
                </c:pt>
                <c:pt idx="3">
                  <c:v>133.69873864605623</c:v>
                </c:pt>
                <c:pt idx="4">
                  <c:v>148.93903895255781</c:v>
                </c:pt>
                <c:pt idx="5">
                  <c:v>162.58260388071781</c:v>
                </c:pt>
                <c:pt idx="6">
                  <c:v>178.66652403988166</c:v>
                </c:pt>
                <c:pt idx="7">
                  <c:v>195.63559546979641</c:v>
                </c:pt>
                <c:pt idx="8">
                  <c:v>211.93834462628871</c:v>
                </c:pt>
                <c:pt idx="9">
                  <c:v>227.41569148662632</c:v>
                </c:pt>
                <c:pt idx="10">
                  <c:v>242.15083407827518</c:v>
                </c:pt>
                <c:pt idx="11">
                  <c:v>258.62220742530263</c:v>
                </c:pt>
                <c:pt idx="12">
                  <c:v>275.9557286768935</c:v>
                </c:pt>
                <c:pt idx="13">
                  <c:v>293.92584118977015</c:v>
                </c:pt>
                <c:pt idx="14">
                  <c:v>287.81563727275056</c:v>
                </c:pt>
                <c:pt idx="15">
                  <c:v>298.88390809353939</c:v>
                </c:pt>
                <c:pt idx="16">
                  <c:v>285.90478811594113</c:v>
                </c:pt>
                <c:pt idx="17">
                  <c:v>294.29212733113502</c:v>
                </c:pt>
                <c:pt idx="18">
                  <c:v>302.33042407342174</c:v>
                </c:pt>
                <c:pt idx="19">
                  <c:v>244.29630823373651</c:v>
                </c:pt>
                <c:pt idx="20">
                  <c:v>76.187142635211075</c:v>
                </c:pt>
                <c:pt idx="21">
                  <c:v>2.173257457731625</c:v>
                </c:pt>
                <c:pt idx="22">
                  <c:v>0</c:v>
                </c:pt>
              </c:numCache>
            </c:numRef>
          </c:yVal>
        </c:ser>
        <c:axId val="87418368"/>
        <c:axId val="87420288"/>
      </c:scatterChart>
      <c:valAx>
        <c:axId val="87418368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работы, с</a:t>
                </a:r>
              </a:p>
            </c:rich>
          </c:tx>
          <c:layout/>
        </c:title>
        <c:numFmt formatCode="General" sourceLinked="1"/>
        <c:tickLblPos val="nextTo"/>
        <c:crossAx val="87420288"/>
        <c:crosses val="autoZero"/>
        <c:crossBetween val="midCat"/>
      </c:valAx>
      <c:valAx>
        <c:axId val="8742028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Давление</a:t>
                </a:r>
                <a:r>
                  <a:rPr lang="ru-RU" baseline="0"/>
                  <a:t>, атм</a:t>
                </a:r>
              </a:p>
            </c:rich>
          </c:tx>
          <c:layout/>
        </c:title>
        <c:numFmt formatCode="General" sourceLinked="1"/>
        <c:tickLblPos val="nextTo"/>
        <c:crossAx val="87418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lineMarker"/>
        <c:ser>
          <c:idx val="0"/>
          <c:order val="0"/>
          <c:tx>
            <c:v>Fг</c:v>
          </c:tx>
          <c:marker>
            <c:symbol val="none"/>
          </c:marker>
          <c:xVal>
            <c:numRef>
              <c:f>ВБП_цикл!$A$4:$A$26</c:f>
              <c:numCache>
                <c:formatCode>General</c:formatCode>
                <c:ptCount val="23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</c:numCache>
            </c:numRef>
          </c:xVal>
          <c:yVal>
            <c:numRef>
              <c:f>ВБП_цикл!$V$62:$V$84</c:f>
              <c:numCache>
                <c:formatCode>General</c:formatCode>
                <c:ptCount val="23"/>
                <c:pt idx="0">
                  <c:v>0.22481798999999997</c:v>
                </c:pt>
                <c:pt idx="1">
                  <c:v>0.2448786</c:v>
                </c:pt>
                <c:pt idx="2">
                  <c:v>0.25817400000000001</c:v>
                </c:pt>
                <c:pt idx="3">
                  <c:v>0.28498479999999998</c:v>
                </c:pt>
                <c:pt idx="4">
                  <c:v>0.30438219999999999</c:v>
                </c:pt>
                <c:pt idx="5">
                  <c:v>0.32109919999999997</c:v>
                </c:pt>
                <c:pt idx="6">
                  <c:v>0.34011859999999994</c:v>
                </c:pt>
                <c:pt idx="7">
                  <c:v>0.35947379999999995</c:v>
                </c:pt>
                <c:pt idx="8">
                  <c:v>0.37746079999999999</c:v>
                </c:pt>
                <c:pt idx="9">
                  <c:v>0.39404379999999994</c:v>
                </c:pt>
                <c:pt idx="10">
                  <c:v>0.40942699999999999</c:v>
                </c:pt>
                <c:pt idx="11">
                  <c:v>0.42619679999999999</c:v>
                </c:pt>
                <c:pt idx="12">
                  <c:v>0.44340040000000003</c:v>
                </c:pt>
                <c:pt idx="13">
                  <c:v>0.46079639999999999</c:v>
                </c:pt>
                <c:pt idx="14">
                  <c:v>0.45492919999999998</c:v>
                </c:pt>
                <c:pt idx="15">
                  <c:v>0.4655224</c:v>
                </c:pt>
                <c:pt idx="16">
                  <c:v>0.4530844</c:v>
                </c:pt>
                <c:pt idx="17">
                  <c:v>0.46114659999999996</c:v>
                </c:pt>
                <c:pt idx="18">
                  <c:v>0.46878959999999997</c:v>
                </c:pt>
                <c:pt idx="19">
                  <c:v>0.411636</c:v>
                </c:pt>
                <c:pt idx="20">
                  <c:v>0.20839632</c:v>
                </c:pt>
                <c:pt idx="21">
                  <c:v>5.1486984E-2</c:v>
                </c:pt>
                <c:pt idx="22">
                  <c:v>0</c:v>
                </c:pt>
              </c:numCache>
            </c:numRef>
          </c:yVal>
        </c:ser>
        <c:axId val="87439232"/>
        <c:axId val="87461888"/>
      </c:scatterChart>
      <c:valAx>
        <c:axId val="87439232"/>
        <c:scaling>
          <c:orientation val="minMax"/>
        </c:scaling>
        <c:axPos val="b"/>
        <c:majorGridlines/>
        <c:minorGridlines/>
        <c:title>
          <c:layout/>
        </c:title>
        <c:numFmt formatCode="General" sourceLinked="1"/>
        <c:tickLblPos val="nextTo"/>
        <c:crossAx val="87461888"/>
        <c:crosses val="autoZero"/>
        <c:crossBetween val="midCat"/>
      </c:valAx>
      <c:valAx>
        <c:axId val="87461888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87439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pk</a:t>
            </a:r>
            <a:r>
              <a:rPr lang="ru-RU" baseline="0"/>
              <a:t>(</a:t>
            </a:r>
            <a:r>
              <a:rPr lang="en-US" baseline="0"/>
              <a:t>e)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Заряд 1 - канальный</c:v>
          </c:tx>
          <c:marker>
            <c:symbol val="none"/>
          </c:marker>
          <c:cat>
            <c:numRef>
              <c:f>ВБП!$B$36:$B$59</c:f>
              <c:numCache>
                <c:formatCode>General</c:formatCode>
                <c:ptCount val="2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</c:numCache>
            </c:numRef>
          </c:cat>
          <c:val>
            <c:numRef>
              <c:f>ВБП!$E$3:$E$26</c:f>
              <c:numCache>
                <c:formatCode>General</c:formatCode>
                <c:ptCount val="24"/>
                <c:pt idx="0">
                  <c:v>2.4623348832645631</c:v>
                </c:pt>
                <c:pt idx="1">
                  <c:v>2.9041704542179567</c:v>
                </c:pt>
                <c:pt idx="2">
                  <c:v>3.3495864707811061</c:v>
                </c:pt>
                <c:pt idx="3">
                  <c:v>3.8158658842884225</c:v>
                </c:pt>
                <c:pt idx="4">
                  <c:v>4.283524908783269</c:v>
                </c:pt>
                <c:pt idx="5">
                  <c:v>4.759367289050398</c:v>
                </c:pt>
                <c:pt idx="6">
                  <c:v>5.2435137775066778</c:v>
                </c:pt>
                <c:pt idx="7">
                  <c:v>5.7348650008245148</c:v>
                </c:pt>
                <c:pt idx="8">
                  <c:v>6.2327311963832628</c:v>
                </c:pt>
                <c:pt idx="9">
                  <c:v>6.7376676472472887</c:v>
                </c:pt>
                <c:pt idx="10">
                  <c:v>7.2495416552874694</c:v>
                </c:pt>
                <c:pt idx="11">
                  <c:v>7.7625230140492381</c:v>
                </c:pt>
                <c:pt idx="12">
                  <c:v>8.2642402647993265</c:v>
                </c:pt>
                <c:pt idx="13">
                  <c:v>8.7551373109278963</c:v>
                </c:pt>
                <c:pt idx="14">
                  <c:v>9.2133141437834052</c:v>
                </c:pt>
                <c:pt idx="15">
                  <c:v>9.5821185673016327</c:v>
                </c:pt>
                <c:pt idx="16">
                  <c:v>9.9521428404095431</c:v>
                </c:pt>
                <c:pt idx="17">
                  <c:v>10.346487363216349</c:v>
                </c:pt>
                <c:pt idx="18">
                  <c:v>10.750794402722025</c:v>
                </c:pt>
                <c:pt idx="19">
                  <c:v>10.396441364603922</c:v>
                </c:pt>
                <c:pt idx="20">
                  <c:v>10.74161637240327</c:v>
                </c:pt>
                <c:pt idx="21">
                  <c:v>11.103041894529161</c:v>
                </c:pt>
                <c:pt idx="22">
                  <c:v>7.2800877444127012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v>Заряд 2 - канальный с компенсатором</c:v>
          </c:tx>
          <c:marker>
            <c:symbol val="none"/>
          </c:marker>
          <c:val>
            <c:numRef>
              <c:f>ВБП!$E$36:$E$59</c:f>
              <c:numCache>
                <c:formatCode>General</c:formatCode>
                <c:ptCount val="24"/>
                <c:pt idx="0">
                  <c:v>2.5174589322721128</c:v>
                </c:pt>
                <c:pt idx="1">
                  <c:v>2.9291920445920203</c:v>
                </c:pt>
                <c:pt idx="2">
                  <c:v>3.3809856794989335</c:v>
                </c:pt>
                <c:pt idx="3">
                  <c:v>3.8418674197829659</c:v>
                </c:pt>
                <c:pt idx="4">
                  <c:v>4.3101682974273121</c:v>
                </c:pt>
                <c:pt idx="5">
                  <c:v>4.7874850173567793</c:v>
                </c:pt>
                <c:pt idx="6">
                  <c:v>5.2728117652810695</c:v>
                </c:pt>
                <c:pt idx="7">
                  <c:v>5.7653655429432478</c:v>
                </c:pt>
                <c:pt idx="8">
                  <c:v>6.2644593164913864</c:v>
                </c:pt>
                <c:pt idx="9">
                  <c:v>6.7706172938466045</c:v>
                </c:pt>
                <c:pt idx="10">
                  <c:v>7.2837175972509929</c:v>
                </c:pt>
                <c:pt idx="11">
                  <c:v>7.7979165907479562</c:v>
                </c:pt>
                <c:pt idx="12">
                  <c:v>8.3008294489443895</c:v>
                </c:pt>
                <c:pt idx="13">
                  <c:v>8.7928966476959598</c:v>
                </c:pt>
                <c:pt idx="14">
                  <c:v>9.2549807908254582</c:v>
                </c:pt>
                <c:pt idx="15">
                  <c:v>9.6209605460051861</c:v>
                </c:pt>
                <c:pt idx="16">
                  <c:v>9.9886940881262287</c:v>
                </c:pt>
                <c:pt idx="17">
                  <c:v>10.043726184459857</c:v>
                </c:pt>
                <c:pt idx="18">
                  <c:v>10.294862639941496</c:v>
                </c:pt>
                <c:pt idx="19">
                  <c:v>10.396441364603922</c:v>
                </c:pt>
                <c:pt idx="20">
                  <c:v>10.74161637240327</c:v>
                </c:pt>
                <c:pt idx="21">
                  <c:v>11.103041894529161</c:v>
                </c:pt>
                <c:pt idx="22">
                  <c:v>7.2800927098015409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v>Заряд 3 - комбинированный</c:v>
          </c:tx>
          <c:marker>
            <c:symbol val="none"/>
          </c:marker>
          <c:val>
            <c:numRef>
              <c:f>ВБП!$E$65:$E$87</c:f>
              <c:numCache>
                <c:formatCode>General</c:formatCode>
                <c:ptCount val="23"/>
                <c:pt idx="0">
                  <c:v>4.2230430432078929</c:v>
                </c:pt>
                <c:pt idx="1">
                  <c:v>4.6811022337618411</c:v>
                </c:pt>
                <c:pt idx="2">
                  <c:v>4.9889917817279601</c:v>
                </c:pt>
                <c:pt idx="3">
                  <c:v>5.6196673924477771</c:v>
                </c:pt>
                <c:pt idx="4">
                  <c:v>6.0836678824597028</c:v>
                </c:pt>
                <c:pt idx="5">
                  <c:v>6.4884560444211266</c:v>
                </c:pt>
                <c:pt idx="6">
                  <c:v>6.9542643806706952</c:v>
                </c:pt>
                <c:pt idx="7">
                  <c:v>7.4338067916812074</c:v>
                </c:pt>
                <c:pt idx="8">
                  <c:v>7.884224758428708</c:v>
                </c:pt>
                <c:pt idx="9">
                  <c:v>8.3034037543824546</c:v>
                </c:pt>
                <c:pt idx="10">
                  <c:v>8.695502552663978</c:v>
                </c:pt>
                <c:pt idx="11">
                  <c:v>9.1263926822392261</c:v>
                </c:pt>
                <c:pt idx="12">
                  <c:v>9.5720520174170183</c:v>
                </c:pt>
                <c:pt idx="13">
                  <c:v>10.026311445397356</c:v>
                </c:pt>
                <c:pt idx="14">
                  <c:v>9.8727025667285204</c:v>
                </c:pt>
                <c:pt idx="15">
                  <c:v>10.150334498447263</c:v>
                </c:pt>
                <c:pt idx="16">
                  <c:v>9.8244874913753275</c:v>
                </c:pt>
                <c:pt idx="17">
                  <c:v>10.035492740696265</c:v>
                </c:pt>
                <c:pt idx="18">
                  <c:v>10.236225735251466</c:v>
                </c:pt>
                <c:pt idx="19">
                  <c:v>8.7520581229312047</c:v>
                </c:pt>
                <c:pt idx="20">
                  <c:v>3.8542292065148192</c:v>
                </c:pt>
                <c:pt idx="21">
                  <c:v>0.71512209563996321</c:v>
                </c:pt>
                <c:pt idx="22">
                  <c:v>0</c:v>
                </c:pt>
              </c:numCache>
            </c:numRef>
          </c:val>
        </c:ser>
        <c:marker val="1"/>
        <c:axId val="73134080"/>
        <c:axId val="73135616"/>
      </c:lineChart>
      <c:catAx>
        <c:axId val="73134080"/>
        <c:scaling>
          <c:orientation val="minMax"/>
        </c:scaling>
        <c:axPos val="b"/>
        <c:numFmt formatCode="General" sourceLinked="1"/>
        <c:majorTickMark val="none"/>
        <c:tickLblPos val="nextTo"/>
        <c:crossAx val="73135616"/>
        <c:crosses val="autoZero"/>
        <c:auto val="1"/>
        <c:lblAlgn val="ctr"/>
        <c:lblOffset val="100"/>
      </c:catAx>
      <c:valAx>
        <c:axId val="73135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Внутрикамерное давление, МПа</a:t>
                </a:r>
              </a:p>
            </c:rich>
          </c:tx>
        </c:title>
        <c:numFmt formatCode="General" sourceLinked="1"/>
        <c:majorTickMark val="none"/>
        <c:tickLblPos val="nextTo"/>
        <c:crossAx val="73134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pk</a:t>
            </a:r>
            <a:r>
              <a:rPr lang="ru-RU" baseline="0"/>
              <a:t>(</a:t>
            </a:r>
            <a:r>
              <a:rPr lang="en-US" baseline="0"/>
              <a:t>t)</a:t>
            </a:r>
          </a:p>
        </c:rich>
      </c:tx>
    </c:title>
    <c:plotArea>
      <c:layout/>
      <c:scatterChart>
        <c:scatterStyle val="lineMarker"/>
        <c:ser>
          <c:idx val="1"/>
          <c:order val="0"/>
          <c:tx>
            <c:v>T=20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'Заряд 3 - var T'!$R$4:$R$26</c:f>
              <c:numCache>
                <c:formatCode>0.000</c:formatCode>
                <c:ptCount val="23"/>
                <c:pt idx="0">
                  <c:v>0</c:v>
                </c:pt>
                <c:pt idx="1">
                  <c:v>0.34702577138248669</c:v>
                </c:pt>
                <c:pt idx="2">
                  <c:v>0.68798752301475941</c:v>
                </c:pt>
                <c:pt idx="3">
                  <c:v>1.0252769059666622</c:v>
                </c:pt>
                <c:pt idx="4">
                  <c:v>1.3558093088811682</c:v>
                </c:pt>
                <c:pt idx="5">
                  <c:v>1.6819137477706971</c:v>
                </c:pt>
                <c:pt idx="6">
                  <c:v>2.0044665450262356</c:v>
                </c:pt>
                <c:pt idx="7">
                  <c:v>2.3232399940522872</c:v>
                </c:pt>
                <c:pt idx="8">
                  <c:v>2.6384201957628384</c:v>
                </c:pt>
                <c:pt idx="9">
                  <c:v>2.9504641808047296</c:v>
                </c:pt>
                <c:pt idx="10">
                  <c:v>3.2597722844791015</c:v>
                </c:pt>
                <c:pt idx="11">
                  <c:v>3.56666370550434</c:v>
                </c:pt>
                <c:pt idx="12">
                  <c:v>3.8710422172339163</c:v>
                </c:pt>
                <c:pt idx="13">
                  <c:v>4.1729636796501195</c:v>
                </c:pt>
                <c:pt idx="14">
                  <c:v>4.4725147270520349</c:v>
                </c:pt>
                <c:pt idx="15">
                  <c:v>4.7728530254314805</c:v>
                </c:pt>
                <c:pt idx="16">
                  <c:v>5.0717786770850086</c:v>
                </c:pt>
                <c:pt idx="17">
                  <c:v>5.3723670386791316</c:v>
                </c:pt>
                <c:pt idx="18">
                  <c:v>5.6718714792075229</c:v>
                </c:pt>
                <c:pt idx="19">
                  <c:v>5.9703692345397634</c:v>
                </c:pt>
                <c:pt idx="20">
                  <c:v>6.2769226167592223</c:v>
                </c:pt>
                <c:pt idx="21">
                  <c:v>6.6293384917176335</c:v>
                </c:pt>
                <c:pt idx="22">
                  <c:v>7.0986057043669</c:v>
                </c:pt>
              </c:numCache>
            </c:numRef>
          </c:xVal>
          <c:yVal>
            <c:numRef>
              <c:f>'Заряд 3 - var T'!$M$4:$M$26</c:f>
              <c:numCache>
                <c:formatCode>0.00</c:formatCode>
                <c:ptCount val="23"/>
                <c:pt idx="0">
                  <c:v>0</c:v>
                </c:pt>
                <c:pt idx="1">
                  <c:v>4.6811022337618411</c:v>
                </c:pt>
                <c:pt idx="2">
                  <c:v>4.9889917817279601</c:v>
                </c:pt>
                <c:pt idx="3">
                  <c:v>5.6196673924477771</c:v>
                </c:pt>
                <c:pt idx="4">
                  <c:v>6.0836678824597028</c:v>
                </c:pt>
                <c:pt idx="5">
                  <c:v>6.4884560444211266</c:v>
                </c:pt>
                <c:pt idx="6">
                  <c:v>6.9542643806706952</c:v>
                </c:pt>
                <c:pt idx="7">
                  <c:v>7.4338067916812074</c:v>
                </c:pt>
                <c:pt idx="8">
                  <c:v>7.884224758428708</c:v>
                </c:pt>
                <c:pt idx="9">
                  <c:v>8.3034037543824546</c:v>
                </c:pt>
                <c:pt idx="10">
                  <c:v>8.695502552663978</c:v>
                </c:pt>
                <c:pt idx="11">
                  <c:v>9.1263926822392261</c:v>
                </c:pt>
                <c:pt idx="12">
                  <c:v>9.5720520174170183</c:v>
                </c:pt>
                <c:pt idx="13">
                  <c:v>10.026311445397356</c:v>
                </c:pt>
                <c:pt idx="14">
                  <c:v>9.8727025667285204</c:v>
                </c:pt>
                <c:pt idx="15">
                  <c:v>10.150334498447263</c:v>
                </c:pt>
                <c:pt idx="16">
                  <c:v>9.8244874913753275</c:v>
                </c:pt>
                <c:pt idx="17">
                  <c:v>10.035492740696265</c:v>
                </c:pt>
                <c:pt idx="18">
                  <c:v>10.236225735251466</c:v>
                </c:pt>
                <c:pt idx="19">
                  <c:v>8.7520581229312047</c:v>
                </c:pt>
                <c:pt idx="20">
                  <c:v>3.8542292065148192</c:v>
                </c:pt>
                <c:pt idx="21">
                  <c:v>0.71512209563996321</c:v>
                </c:pt>
                <c:pt idx="22">
                  <c:v>0</c:v>
                </c:pt>
              </c:numCache>
            </c:numRef>
          </c:yVal>
        </c:ser>
        <c:ser>
          <c:idx val="2"/>
          <c:order val="1"/>
          <c:tx>
            <c:v>T=50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'Заряд 3 - var T'!$Z$4:$Z$26</c:f>
              <c:numCache>
                <c:formatCode>0.000</c:formatCode>
                <c:ptCount val="23"/>
                <c:pt idx="0">
                  <c:v>0</c:v>
                </c:pt>
                <c:pt idx="1">
                  <c:v>0.32747989528018773</c:v>
                </c:pt>
                <c:pt idx="2">
                  <c:v>0.64845950619657744</c:v>
                </c:pt>
                <c:pt idx="3">
                  <c:v>0.9654829472264066</c:v>
                </c:pt>
                <c:pt idx="4">
                  <c:v>1.2752436037594082</c:v>
                </c:pt>
                <c:pt idx="5">
                  <c:v>1.5802564898899121</c:v>
                </c:pt>
                <c:pt idx="6">
                  <c:v>1.88146797520283</c:v>
                </c:pt>
                <c:pt idx="7">
                  <c:v>2.1786410130771023</c:v>
                </c:pt>
                <c:pt idx="8">
                  <c:v>2.4719809053322859</c:v>
                </c:pt>
                <c:pt idx="9">
                  <c:v>2.7619803768539759</c:v>
                </c:pt>
                <c:pt idx="10">
                  <c:v>3.0490698074267577</c:v>
                </c:pt>
                <c:pt idx="11">
                  <c:v>3.333591822018164</c:v>
                </c:pt>
                <c:pt idx="12">
                  <c:v>3.6154473048562168</c:v>
                </c:pt>
                <c:pt idx="13">
                  <c:v>3.8946986204843776</c:v>
                </c:pt>
                <c:pt idx="14">
                  <c:v>4.1714405057995796</c:v>
                </c:pt>
                <c:pt idx="15">
                  <c:v>4.4490154924542873</c:v>
                </c:pt>
                <c:pt idx="16">
                  <c:v>4.7250957848641697</c:v>
                </c:pt>
                <c:pt idx="17">
                  <c:v>5.0029354651107978</c:v>
                </c:pt>
                <c:pt idx="18">
                  <c:v>5.2796280390786468</c:v>
                </c:pt>
                <c:pt idx="19">
                  <c:v>5.5552557848326467</c:v>
                </c:pt>
                <c:pt idx="20">
                  <c:v>5.8394189099786686</c:v>
                </c:pt>
                <c:pt idx="21">
                  <c:v>6.1727773524173326</c:v>
                </c:pt>
                <c:pt idx="22">
                  <c:v>6.6355198118659606</c:v>
                </c:pt>
              </c:numCache>
            </c:numRef>
          </c:xVal>
          <c:yVal>
            <c:numRef>
              <c:f>'Заряд 3 - var T'!$U$4:$U$26</c:f>
              <c:numCache>
                <c:formatCode>General</c:formatCode>
                <c:ptCount val="23"/>
                <c:pt idx="0">
                  <c:v>0</c:v>
                </c:pt>
                <c:pt idx="1">
                  <c:v>4.997870550003042</c:v>
                </c:pt>
                <c:pt idx="2">
                  <c:v>5.3349793629048019</c:v>
                </c:pt>
                <c:pt idx="3">
                  <c:v>6.0270813972222035</c:v>
                </c:pt>
                <c:pt idx="4">
                  <c:v>6.5375147209949311</c:v>
                </c:pt>
                <c:pt idx="5">
                  <c:v>6.9835992833544713</c:v>
                </c:pt>
                <c:pt idx="6">
                  <c:v>7.4977782997963054</c:v>
                </c:pt>
                <c:pt idx="7">
                  <c:v>8.0280067753038367</c:v>
                </c:pt>
                <c:pt idx="8">
                  <c:v>8.5268037084940929</c:v>
                </c:pt>
                <c:pt idx="9">
                  <c:v>8.9916399978987815</c:v>
                </c:pt>
                <c:pt idx="10">
                  <c:v>9.4269720603305611</c:v>
                </c:pt>
                <c:pt idx="11">
                  <c:v>9.9059313297211489</c:v>
                </c:pt>
                <c:pt idx="12">
                  <c:v>10.401895071626878</c:v>
                </c:pt>
                <c:pt idx="13">
                  <c:v>10.908016797944889</c:v>
                </c:pt>
                <c:pt idx="14">
                  <c:v>10.736805887904616</c:v>
                </c:pt>
                <c:pt idx="15">
                  <c:v>11.046298956789775</c:v>
                </c:pt>
                <c:pt idx="16">
                  <c:v>10.683079363780953</c:v>
                </c:pt>
                <c:pt idx="17">
                  <c:v>10.918252238605531</c:v>
                </c:pt>
                <c:pt idx="18">
                  <c:v>11.142089715167851</c:v>
                </c:pt>
                <c:pt idx="19">
                  <c:v>9.4898040467021332</c:v>
                </c:pt>
                <c:pt idx="20">
                  <c:v>4.0953422628425686</c:v>
                </c:pt>
                <c:pt idx="21">
                  <c:v>0.72890296671871824</c:v>
                </c:pt>
                <c:pt idx="22">
                  <c:v>0</c:v>
                </c:pt>
              </c:numCache>
            </c:numRef>
          </c:yVal>
        </c:ser>
        <c:ser>
          <c:idx val="0"/>
          <c:order val="2"/>
          <c:tx>
            <c:v>T= -40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'Заряд 3 - var T'!$J$4:$J$26</c:f>
              <c:numCache>
                <c:formatCode>0.000</c:formatCode>
                <c:ptCount val="23"/>
                <c:pt idx="0">
                  <c:v>0</c:v>
                </c:pt>
                <c:pt idx="1">
                  <c:v>0.42919212835850512</c:v>
                </c:pt>
                <c:pt idx="2">
                  <c:v>0.84695382626077875</c:v>
                </c:pt>
                <c:pt idx="3">
                  <c:v>1.2577984100050486</c:v>
                </c:pt>
                <c:pt idx="4">
                  <c:v>1.6560222852582764</c:v>
                </c:pt>
                <c:pt idx="5">
                  <c:v>2.0460509153050035</c:v>
                </c:pt>
                <c:pt idx="6">
                  <c:v>2.4295495877423829</c:v>
                </c:pt>
                <c:pt idx="7">
                  <c:v>2.8061423073558851</c:v>
                </c:pt>
                <c:pt idx="8">
                  <c:v>3.1762101365327302</c:v>
                </c:pt>
                <c:pt idx="9">
                  <c:v>3.5406158174785736</c:v>
                </c:pt>
                <c:pt idx="10">
                  <c:v>3.9001072253605673</c:v>
                </c:pt>
                <c:pt idx="11">
                  <c:v>4.2552772541433423</c:v>
                </c:pt>
                <c:pt idx="12">
                  <c:v>4.6059733489638788</c:v>
                </c:pt>
                <c:pt idx="13">
                  <c:v>4.9523142677880756</c:v>
                </c:pt>
                <c:pt idx="14">
                  <c:v>5.2944717301457045</c:v>
                </c:pt>
                <c:pt idx="15">
                  <c:v>5.6380166004053551</c:v>
                </c:pt>
                <c:pt idx="16">
                  <c:v>5.9790733065510295</c:v>
                </c:pt>
                <c:pt idx="17">
                  <c:v>6.3230592872284106</c:v>
                </c:pt>
                <c:pt idx="18">
                  <c:v>6.6651346740629913</c:v>
                </c:pt>
                <c:pt idx="19">
                  <c:v>7.0054389602563036</c:v>
                </c:pt>
                <c:pt idx="20">
                  <c:v>7.3600059918185199</c:v>
                </c:pt>
                <c:pt idx="21">
                  <c:v>7.7996013307997876</c:v>
                </c:pt>
                <c:pt idx="22">
                  <c:v>8.483195120144714</c:v>
                </c:pt>
              </c:numCache>
            </c:numRef>
          </c:xVal>
          <c:yVal>
            <c:numRef>
              <c:f>'Заряд 3 - var T'!$E$4:$E$26</c:f>
              <c:numCache>
                <c:formatCode>General</c:formatCode>
                <c:ptCount val="23"/>
                <c:pt idx="0">
                  <c:v>0</c:v>
                </c:pt>
                <c:pt idx="1">
                  <c:v>3.7839284637793424</c:v>
                </c:pt>
                <c:pt idx="2">
                  <c:v>4.056538861101247</c:v>
                </c:pt>
                <c:pt idx="3">
                  <c:v>4.6197141714810526</c:v>
                </c:pt>
                <c:pt idx="4">
                  <c:v>5.0378295252789771</c:v>
                </c:pt>
                <c:pt idx="5">
                  <c:v>5.4050045254158023</c:v>
                </c:pt>
                <c:pt idx="6">
                  <c:v>5.8301424496048444</c:v>
                </c:pt>
                <c:pt idx="7">
                  <c:v>6.2705641230048172</c:v>
                </c:pt>
                <c:pt idx="8">
                  <c:v>6.686631969935803</c:v>
                </c:pt>
                <c:pt idx="9">
                  <c:v>7.0758185414665213</c:v>
                </c:pt>
                <c:pt idx="10">
                  <c:v>7.4415066115065347</c:v>
                </c:pt>
                <c:pt idx="11">
                  <c:v>7.8451266298215003</c:v>
                </c:pt>
                <c:pt idx="12">
                  <c:v>8.2644313987376048</c:v>
                </c:pt>
                <c:pt idx="13">
                  <c:v>8.6936822812200027</c:v>
                </c:pt>
                <c:pt idx="14">
                  <c:v>8.5483254541321774</c:v>
                </c:pt>
                <c:pt idx="15">
                  <c:v>8.8111925720901407</c:v>
                </c:pt>
                <c:pt idx="16">
                  <c:v>8.5027433347926227</c:v>
                </c:pt>
                <c:pt idx="17">
                  <c:v>8.7023768758546236</c:v>
                </c:pt>
                <c:pt idx="18">
                  <c:v>8.8926510840529787</c:v>
                </c:pt>
                <c:pt idx="19">
                  <c:v>7.4943798460062458</c:v>
                </c:pt>
                <c:pt idx="20">
                  <c:v>3.0602553786665427</c:v>
                </c:pt>
                <c:pt idx="21">
                  <c:v>0.48620570159312282</c:v>
                </c:pt>
                <c:pt idx="22">
                  <c:v>0</c:v>
                </c:pt>
              </c:numCache>
            </c:numRef>
          </c:yVal>
        </c:ser>
        <c:axId val="73773824"/>
        <c:axId val="73775360"/>
      </c:scatterChart>
      <c:valAx>
        <c:axId val="73773824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73775360"/>
        <c:crosses val="autoZero"/>
        <c:crossBetween val="midCat"/>
      </c:valAx>
      <c:valAx>
        <c:axId val="73775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Внутрикамерное давление, МПа</a:t>
                </a:r>
              </a:p>
            </c:rich>
          </c:tx>
        </c:title>
        <c:numFmt formatCode="0.00" sourceLinked="1"/>
        <c:majorTickMark val="none"/>
        <c:tickLblPos val="nextTo"/>
        <c:crossAx val="7377382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U</a:t>
            </a:r>
            <a:r>
              <a:rPr lang="ru-RU" baseline="0"/>
              <a:t>г(</a:t>
            </a:r>
            <a:r>
              <a:rPr lang="en-US" baseline="0"/>
              <a:t>t)</a:t>
            </a:r>
          </a:p>
        </c:rich>
      </c:tx>
    </c:title>
    <c:plotArea>
      <c:layout/>
      <c:scatterChart>
        <c:scatterStyle val="lineMarker"/>
        <c:ser>
          <c:idx val="1"/>
          <c:order val="0"/>
          <c:tx>
            <c:v>T=20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'Заряд 3 - var T'!$R$4:$R$26</c:f>
              <c:numCache>
                <c:formatCode>0.000</c:formatCode>
                <c:ptCount val="23"/>
                <c:pt idx="0">
                  <c:v>0</c:v>
                </c:pt>
                <c:pt idx="1">
                  <c:v>0.34702577138248669</c:v>
                </c:pt>
                <c:pt idx="2">
                  <c:v>0.68798752301475941</c:v>
                </c:pt>
                <c:pt idx="3">
                  <c:v>1.0252769059666622</c:v>
                </c:pt>
                <c:pt idx="4">
                  <c:v>1.3558093088811682</c:v>
                </c:pt>
                <c:pt idx="5">
                  <c:v>1.6819137477706971</c:v>
                </c:pt>
                <c:pt idx="6">
                  <c:v>2.0044665450262356</c:v>
                </c:pt>
                <c:pt idx="7">
                  <c:v>2.3232399940522872</c:v>
                </c:pt>
                <c:pt idx="8">
                  <c:v>2.6384201957628384</c:v>
                </c:pt>
                <c:pt idx="9">
                  <c:v>2.9504641808047296</c:v>
                </c:pt>
                <c:pt idx="10">
                  <c:v>3.2597722844791015</c:v>
                </c:pt>
                <c:pt idx="11">
                  <c:v>3.56666370550434</c:v>
                </c:pt>
                <c:pt idx="12">
                  <c:v>3.8710422172339163</c:v>
                </c:pt>
                <c:pt idx="13">
                  <c:v>4.1729636796501195</c:v>
                </c:pt>
                <c:pt idx="14">
                  <c:v>4.4725147270520349</c:v>
                </c:pt>
                <c:pt idx="15">
                  <c:v>4.7728530254314805</c:v>
                </c:pt>
                <c:pt idx="16">
                  <c:v>5.0717786770850086</c:v>
                </c:pt>
                <c:pt idx="17">
                  <c:v>5.3723670386791316</c:v>
                </c:pt>
                <c:pt idx="18">
                  <c:v>5.6718714792075229</c:v>
                </c:pt>
                <c:pt idx="19">
                  <c:v>5.9703692345397634</c:v>
                </c:pt>
                <c:pt idx="20">
                  <c:v>6.2769226167592223</c:v>
                </c:pt>
                <c:pt idx="21">
                  <c:v>6.6293384917176335</c:v>
                </c:pt>
                <c:pt idx="22">
                  <c:v>7.0986057043669</c:v>
                </c:pt>
              </c:numCache>
            </c:numRef>
          </c:xVal>
          <c:yVal>
            <c:numRef>
              <c:f>'Заряд 3 - var T'!$Q$4:$Q$26</c:f>
              <c:numCache>
                <c:formatCode>0.000</c:formatCode>
                <c:ptCount val="23"/>
                <c:pt idx="0">
                  <c:v>7.2040759106750514</c:v>
                </c:pt>
                <c:pt idx="1">
                  <c:v>7.332200717622575</c:v>
                </c:pt>
                <c:pt idx="2">
                  <c:v>7.4120328903341068</c:v>
                </c:pt>
                <c:pt idx="3">
                  <c:v>7.5635549736000875</c:v>
                </c:pt>
                <c:pt idx="4">
                  <c:v>7.6662556588102762</c:v>
                </c:pt>
                <c:pt idx="5">
                  <c:v>7.7506691036984172</c:v>
                </c:pt>
                <c:pt idx="6">
                  <c:v>7.8425603124672074</c:v>
                </c:pt>
                <c:pt idx="7">
                  <c:v>7.9319703028044204</c:v>
                </c:pt>
                <c:pt idx="8">
                  <c:v>8.0116910430572101</c:v>
                </c:pt>
                <c:pt idx="9">
                  <c:v>8.0825557762686628</c:v>
                </c:pt>
                <c:pt idx="10">
                  <c:v>8.1462036040245067</c:v>
                </c:pt>
                <c:pt idx="11">
                  <c:v>8.2134575985479383</c:v>
                </c:pt>
                <c:pt idx="12">
                  <c:v>8.280299055234817</c:v>
                </c:pt>
                <c:pt idx="13">
                  <c:v>8.3458229296246973</c:v>
                </c:pt>
                <c:pt idx="14">
                  <c:v>8.3239467410230592</c:v>
                </c:pt>
                <c:pt idx="15">
                  <c:v>8.3632835996879944</c:v>
                </c:pt>
                <c:pt idx="16">
                  <c:v>8.317021945698917</c:v>
                </c:pt>
                <c:pt idx="17">
                  <c:v>8.3471216506488233</c:v>
                </c:pt>
                <c:pt idx="18">
                  <c:v>8.37527236081689</c:v>
                </c:pt>
                <c:pt idx="19">
                  <c:v>8.1551864862814334</c:v>
                </c:pt>
                <c:pt idx="20">
                  <c:v>7.0938915572263133</c:v>
                </c:pt>
                <c:pt idx="21">
                  <c:v>5.3274550887247143</c:v>
                </c:pt>
                <c:pt idx="22">
                  <c:v>0</c:v>
                </c:pt>
              </c:numCache>
            </c:numRef>
          </c:yVal>
        </c:ser>
        <c:ser>
          <c:idx val="2"/>
          <c:order val="1"/>
          <c:tx>
            <c:v>T=50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'Заряд 3 - var T'!$Z$4:$Z$26</c:f>
              <c:numCache>
                <c:formatCode>0.000</c:formatCode>
                <c:ptCount val="23"/>
                <c:pt idx="0">
                  <c:v>0</c:v>
                </c:pt>
                <c:pt idx="1">
                  <c:v>0.32747989528018773</c:v>
                </c:pt>
                <c:pt idx="2">
                  <c:v>0.64845950619657744</c:v>
                </c:pt>
                <c:pt idx="3">
                  <c:v>0.9654829472264066</c:v>
                </c:pt>
                <c:pt idx="4">
                  <c:v>1.2752436037594082</c:v>
                </c:pt>
                <c:pt idx="5">
                  <c:v>1.5802564898899121</c:v>
                </c:pt>
                <c:pt idx="6">
                  <c:v>1.88146797520283</c:v>
                </c:pt>
                <c:pt idx="7">
                  <c:v>2.1786410130771023</c:v>
                </c:pt>
                <c:pt idx="8">
                  <c:v>2.4719809053322859</c:v>
                </c:pt>
                <c:pt idx="9">
                  <c:v>2.7619803768539759</c:v>
                </c:pt>
                <c:pt idx="10">
                  <c:v>3.0490698074267577</c:v>
                </c:pt>
                <c:pt idx="11">
                  <c:v>3.333591822018164</c:v>
                </c:pt>
                <c:pt idx="12">
                  <c:v>3.6154473048562168</c:v>
                </c:pt>
                <c:pt idx="13">
                  <c:v>3.8946986204843776</c:v>
                </c:pt>
                <c:pt idx="14">
                  <c:v>4.1714405057995796</c:v>
                </c:pt>
                <c:pt idx="15">
                  <c:v>4.4490154924542873</c:v>
                </c:pt>
                <c:pt idx="16">
                  <c:v>4.7250957848641697</c:v>
                </c:pt>
                <c:pt idx="17">
                  <c:v>5.0029354651107978</c:v>
                </c:pt>
                <c:pt idx="18">
                  <c:v>5.2796280390786468</c:v>
                </c:pt>
                <c:pt idx="19">
                  <c:v>5.5552557848326467</c:v>
                </c:pt>
                <c:pt idx="20">
                  <c:v>5.8394189099786686</c:v>
                </c:pt>
                <c:pt idx="21">
                  <c:v>6.1727773524173326</c:v>
                </c:pt>
                <c:pt idx="22">
                  <c:v>6.6355198118659606</c:v>
                </c:pt>
              </c:numCache>
            </c:numRef>
          </c:xVal>
          <c:yVal>
            <c:numRef>
              <c:f>'Заряд 3 - var T'!$Y$4:$Y$26</c:f>
              <c:numCache>
                <c:formatCode>0.000</c:formatCode>
                <c:ptCount val="23"/>
                <c:pt idx="0">
                  <c:v>7.6340564292077566</c:v>
                </c:pt>
                <c:pt idx="1">
                  <c:v>7.7886567089496923</c:v>
                </c:pt>
                <c:pt idx="2">
                  <c:v>7.8858522003260054</c:v>
                </c:pt>
                <c:pt idx="3">
                  <c:v>8.070747356947356</c:v>
                </c:pt>
                <c:pt idx="4">
                  <c:v>8.1963750178421666</c:v>
                </c:pt>
                <c:pt idx="5">
                  <c:v>8.2998163147824133</c:v>
                </c:pt>
                <c:pt idx="6">
                  <c:v>8.4126070719029951</c:v>
                </c:pt>
                <c:pt idx="7">
                  <c:v>8.5225367091400823</c:v>
                </c:pt>
                <c:pt idx="8">
                  <c:v>8.6207053650200081</c:v>
                </c:pt>
                <c:pt idx="9">
                  <c:v>8.708087911882247</c:v>
                </c:pt>
                <c:pt idx="10">
                  <c:v>8.78666630977634</c:v>
                </c:pt>
                <c:pt idx="11">
                  <c:v>8.869793749715484</c:v>
                </c:pt>
                <c:pt idx="12">
                  <c:v>8.9525092992897264</c:v>
                </c:pt>
                <c:pt idx="13">
                  <c:v>9.0336885475524014</c:v>
                </c:pt>
                <c:pt idx="14">
                  <c:v>9.0065752326231703</c:v>
                </c:pt>
                <c:pt idx="15">
                  <c:v>9.0553366854899551</c:v>
                </c:pt>
                <c:pt idx="16">
                  <c:v>8.9979948068643019</c:v>
                </c:pt>
                <c:pt idx="17">
                  <c:v>9.0352985053024764</c:v>
                </c:pt>
                <c:pt idx="18">
                  <c:v>9.0702044279361811</c:v>
                </c:pt>
                <c:pt idx="19">
                  <c:v>8.7977636039698499</c:v>
                </c:pt>
                <c:pt idx="20">
                  <c:v>7.4994350876833851</c:v>
                </c:pt>
                <c:pt idx="21">
                  <c:v>5.4025731785642259</c:v>
                </c:pt>
                <c:pt idx="22">
                  <c:v>0</c:v>
                </c:pt>
              </c:numCache>
            </c:numRef>
          </c:yVal>
        </c:ser>
        <c:ser>
          <c:idx val="0"/>
          <c:order val="2"/>
          <c:tx>
            <c:v>T= -40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'Заряд 3 - var T'!$J$4:$J$26</c:f>
              <c:numCache>
                <c:formatCode>0.000</c:formatCode>
                <c:ptCount val="23"/>
                <c:pt idx="0">
                  <c:v>0</c:v>
                </c:pt>
                <c:pt idx="1">
                  <c:v>0.42919212835850512</c:v>
                </c:pt>
                <c:pt idx="2">
                  <c:v>0.84695382626077875</c:v>
                </c:pt>
                <c:pt idx="3">
                  <c:v>1.2577984100050486</c:v>
                </c:pt>
                <c:pt idx="4">
                  <c:v>1.6560222852582764</c:v>
                </c:pt>
                <c:pt idx="5">
                  <c:v>2.0460509153050035</c:v>
                </c:pt>
                <c:pt idx="6">
                  <c:v>2.4295495877423829</c:v>
                </c:pt>
                <c:pt idx="7">
                  <c:v>2.8061423073558851</c:v>
                </c:pt>
                <c:pt idx="8">
                  <c:v>3.1762101365327302</c:v>
                </c:pt>
                <c:pt idx="9">
                  <c:v>3.5406158174785736</c:v>
                </c:pt>
                <c:pt idx="10">
                  <c:v>3.9001072253605673</c:v>
                </c:pt>
                <c:pt idx="11">
                  <c:v>4.2552772541433423</c:v>
                </c:pt>
                <c:pt idx="12">
                  <c:v>4.6059733489638788</c:v>
                </c:pt>
                <c:pt idx="13">
                  <c:v>4.9523142677880756</c:v>
                </c:pt>
                <c:pt idx="14">
                  <c:v>5.2944717301457045</c:v>
                </c:pt>
                <c:pt idx="15">
                  <c:v>5.6380166004053551</c:v>
                </c:pt>
                <c:pt idx="16">
                  <c:v>5.9790733065510295</c:v>
                </c:pt>
                <c:pt idx="17">
                  <c:v>6.3230592872284106</c:v>
                </c:pt>
                <c:pt idx="18">
                  <c:v>6.6651346740629913</c:v>
                </c:pt>
                <c:pt idx="19">
                  <c:v>7.0054389602563036</c:v>
                </c:pt>
                <c:pt idx="20">
                  <c:v>7.3600059918185199</c:v>
                </c:pt>
                <c:pt idx="21">
                  <c:v>7.7996013307997876</c:v>
                </c:pt>
                <c:pt idx="22">
                  <c:v>8.483195120144714</c:v>
                </c:pt>
              </c:numCache>
            </c:numRef>
          </c:xVal>
          <c:yVal>
            <c:numRef>
              <c:f>'Заряд 3 - var T'!$I$4:$I$26</c:f>
              <c:numCache>
                <c:formatCode>0.000</c:formatCode>
                <c:ptCount val="23"/>
                <c:pt idx="0">
                  <c:v>5.8248971377027319</c:v>
                </c:pt>
                <c:pt idx="1">
                  <c:v>5.9842728822516937</c:v>
                </c:pt>
                <c:pt idx="2">
                  <c:v>6.0850260631794644</c:v>
                </c:pt>
                <c:pt idx="3">
                  <c:v>6.2778757260856528</c:v>
                </c:pt>
                <c:pt idx="4">
                  <c:v>6.4097858654645137</c:v>
                </c:pt>
                <c:pt idx="5">
                  <c:v>6.5189273905719149</c:v>
                </c:pt>
                <c:pt idx="6">
                  <c:v>6.6384714037110291</c:v>
                </c:pt>
                <c:pt idx="7">
                  <c:v>6.7555183209544003</c:v>
                </c:pt>
                <c:pt idx="8">
                  <c:v>6.8604858011847023</c:v>
                </c:pt>
                <c:pt idx="9">
                  <c:v>6.9542691290709433</c:v>
                </c:pt>
                <c:pt idx="10">
                  <c:v>7.0388822180967932</c:v>
                </c:pt>
                <c:pt idx="11">
                  <c:v>7.1286793235588783</c:v>
                </c:pt>
                <c:pt idx="12">
                  <c:v>7.2183212093082325</c:v>
                </c:pt>
                <c:pt idx="13">
                  <c:v>7.3065774534736185</c:v>
                </c:pt>
                <c:pt idx="14">
                  <c:v>7.2770697990935078</c:v>
                </c:pt>
                <c:pt idx="15">
                  <c:v>7.3301593399315284</c:v>
                </c:pt>
                <c:pt idx="16">
                  <c:v>7.2677380487337704</c:v>
                </c:pt>
                <c:pt idx="17">
                  <c:v>7.3083305499817817</c:v>
                </c:pt>
                <c:pt idx="18">
                  <c:v>7.3463664767944046</c:v>
                </c:pt>
                <c:pt idx="19">
                  <c:v>7.0508529486936249</c:v>
                </c:pt>
                <c:pt idx="20">
                  <c:v>5.6870484700624413</c:v>
                </c:pt>
                <c:pt idx="21">
                  <c:v>3.6571426466523267</c:v>
                </c:pt>
                <c:pt idx="22">
                  <c:v>0</c:v>
                </c:pt>
              </c:numCache>
            </c:numRef>
          </c:yVal>
        </c:ser>
        <c:axId val="78012416"/>
        <c:axId val="78013952"/>
      </c:scatterChart>
      <c:valAx>
        <c:axId val="78012416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78013952"/>
        <c:crosses val="autoZero"/>
        <c:crossBetween val="midCat"/>
      </c:valAx>
      <c:valAx>
        <c:axId val="78013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Скорость горения, мм/с</a:t>
                </a:r>
              </a:p>
            </c:rich>
          </c:tx>
        </c:title>
        <c:numFmt formatCode="0.000" sourceLinked="1"/>
        <c:majorTickMark val="none"/>
        <c:tickLblPos val="nextTo"/>
        <c:crossAx val="7801241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R</a:t>
            </a:r>
            <a:r>
              <a:rPr lang="ru-RU" baseline="0"/>
              <a:t>(</a:t>
            </a:r>
            <a:r>
              <a:rPr lang="en-US" baseline="0"/>
              <a:t>t)</a:t>
            </a:r>
            <a:r>
              <a:rPr lang="ru-RU" baseline="0"/>
              <a:t> в кГс</a:t>
            </a:r>
          </a:p>
        </c:rich>
      </c:tx>
    </c:title>
    <c:plotArea>
      <c:layout/>
      <c:scatterChart>
        <c:scatterStyle val="lineMarker"/>
        <c:ser>
          <c:idx val="1"/>
          <c:order val="0"/>
          <c:tx>
            <c:v>T=20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'Заряд 3 - var T'!$R$4:$R$26</c:f>
              <c:numCache>
                <c:formatCode>0.000</c:formatCode>
                <c:ptCount val="23"/>
                <c:pt idx="0">
                  <c:v>0</c:v>
                </c:pt>
                <c:pt idx="1">
                  <c:v>0.34702577138248669</c:v>
                </c:pt>
                <c:pt idx="2">
                  <c:v>0.68798752301475941</c:v>
                </c:pt>
                <c:pt idx="3">
                  <c:v>1.0252769059666622</c:v>
                </c:pt>
                <c:pt idx="4">
                  <c:v>1.3558093088811682</c:v>
                </c:pt>
                <c:pt idx="5">
                  <c:v>1.6819137477706971</c:v>
                </c:pt>
                <c:pt idx="6">
                  <c:v>2.0044665450262356</c:v>
                </c:pt>
                <c:pt idx="7">
                  <c:v>2.3232399940522872</c:v>
                </c:pt>
                <c:pt idx="8">
                  <c:v>2.6384201957628384</c:v>
                </c:pt>
                <c:pt idx="9">
                  <c:v>2.9504641808047296</c:v>
                </c:pt>
                <c:pt idx="10">
                  <c:v>3.2597722844791015</c:v>
                </c:pt>
                <c:pt idx="11">
                  <c:v>3.56666370550434</c:v>
                </c:pt>
                <c:pt idx="12">
                  <c:v>3.8710422172339163</c:v>
                </c:pt>
                <c:pt idx="13">
                  <c:v>4.1729636796501195</c:v>
                </c:pt>
                <c:pt idx="14">
                  <c:v>4.4725147270520349</c:v>
                </c:pt>
                <c:pt idx="15">
                  <c:v>4.7728530254314805</c:v>
                </c:pt>
                <c:pt idx="16">
                  <c:v>5.0717786770850086</c:v>
                </c:pt>
                <c:pt idx="17">
                  <c:v>5.3723670386791316</c:v>
                </c:pt>
                <c:pt idx="18">
                  <c:v>5.6718714792075229</c:v>
                </c:pt>
                <c:pt idx="19">
                  <c:v>5.9703692345397634</c:v>
                </c:pt>
                <c:pt idx="20">
                  <c:v>6.2769226167592223</c:v>
                </c:pt>
                <c:pt idx="21">
                  <c:v>6.6293384917176335</c:v>
                </c:pt>
                <c:pt idx="22">
                  <c:v>7.0986057043669</c:v>
                </c:pt>
              </c:numCache>
            </c:numRef>
          </c:xVal>
          <c:yVal>
            <c:numRef>
              <c:f>'Заряд 3 - var T'!$P$4:$P$26</c:f>
              <c:numCache>
                <c:formatCode>0.00</c:formatCode>
                <c:ptCount val="23"/>
                <c:pt idx="0">
                  <c:v>0</c:v>
                </c:pt>
                <c:pt idx="1">
                  <c:v>663.31053626141102</c:v>
                </c:pt>
                <c:pt idx="2">
                  <c:v>710.29551605526046</c:v>
                </c:pt>
                <c:pt idx="3">
                  <c:v>806.5387338646716</c:v>
                </c:pt>
                <c:pt idx="4">
                  <c:v>877.34676808201232</c:v>
                </c:pt>
                <c:pt idx="5">
                  <c:v>939.11880203439512</c:v>
                </c:pt>
                <c:pt idx="6">
                  <c:v>1010.2027196635217</c:v>
                </c:pt>
                <c:pt idx="7">
                  <c:v>1083.3825032594957</c:v>
                </c:pt>
                <c:pt idx="8">
                  <c:v>1152.1177987777019</c:v>
                </c:pt>
                <c:pt idx="9">
                  <c:v>1216.0859223629175</c:v>
                </c:pt>
                <c:pt idx="10">
                  <c:v>1275.9215167705495</c:v>
                </c:pt>
                <c:pt idx="11">
                  <c:v>1341.6767987059084</c:v>
                </c:pt>
                <c:pt idx="12">
                  <c:v>1409.6859110534733</c:v>
                </c:pt>
                <c:pt idx="13">
                  <c:v>1479.0074264664311</c:v>
                </c:pt>
                <c:pt idx="14">
                  <c:v>1455.5661953233543</c:v>
                </c:pt>
                <c:pt idx="15">
                  <c:v>1497.9337611861881</c:v>
                </c:pt>
                <c:pt idx="16">
                  <c:v>1448.2084127802525</c:v>
                </c:pt>
                <c:pt idx="17">
                  <c:v>1480.4085229861089</c:v>
                </c:pt>
                <c:pt idx="18">
                  <c:v>1511.0410525910856</c:v>
                </c:pt>
                <c:pt idx="19">
                  <c:v>1284.5520868687843</c:v>
                </c:pt>
                <c:pt idx="20">
                  <c:v>537.12693329754666</c:v>
                </c:pt>
                <c:pt idx="21">
                  <c:v>58.088638072875732</c:v>
                </c:pt>
                <c:pt idx="22">
                  <c:v>0</c:v>
                </c:pt>
              </c:numCache>
            </c:numRef>
          </c:yVal>
        </c:ser>
        <c:ser>
          <c:idx val="2"/>
          <c:order val="1"/>
          <c:tx>
            <c:v>T=50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'Заряд 3 - var T'!$Z$4:$Z$26</c:f>
              <c:numCache>
                <c:formatCode>0.000</c:formatCode>
                <c:ptCount val="23"/>
                <c:pt idx="0">
                  <c:v>0</c:v>
                </c:pt>
                <c:pt idx="1">
                  <c:v>0.32747989528018773</c:v>
                </c:pt>
                <c:pt idx="2">
                  <c:v>0.64845950619657744</c:v>
                </c:pt>
                <c:pt idx="3">
                  <c:v>0.9654829472264066</c:v>
                </c:pt>
                <c:pt idx="4">
                  <c:v>1.2752436037594082</c:v>
                </c:pt>
                <c:pt idx="5">
                  <c:v>1.5802564898899121</c:v>
                </c:pt>
                <c:pt idx="6">
                  <c:v>1.88146797520283</c:v>
                </c:pt>
                <c:pt idx="7">
                  <c:v>2.1786410130771023</c:v>
                </c:pt>
                <c:pt idx="8">
                  <c:v>2.4719809053322859</c:v>
                </c:pt>
                <c:pt idx="9">
                  <c:v>2.7619803768539759</c:v>
                </c:pt>
                <c:pt idx="10">
                  <c:v>3.0490698074267577</c:v>
                </c:pt>
                <c:pt idx="11">
                  <c:v>3.333591822018164</c:v>
                </c:pt>
                <c:pt idx="12">
                  <c:v>3.6154473048562168</c:v>
                </c:pt>
                <c:pt idx="13">
                  <c:v>3.8946986204843776</c:v>
                </c:pt>
                <c:pt idx="14">
                  <c:v>4.1714405057995796</c:v>
                </c:pt>
                <c:pt idx="15">
                  <c:v>4.4490154924542873</c:v>
                </c:pt>
                <c:pt idx="16">
                  <c:v>4.7250957848641697</c:v>
                </c:pt>
                <c:pt idx="17">
                  <c:v>5.0029354651107978</c:v>
                </c:pt>
                <c:pt idx="18">
                  <c:v>5.2796280390786468</c:v>
                </c:pt>
                <c:pt idx="19">
                  <c:v>5.5552557848326467</c:v>
                </c:pt>
                <c:pt idx="20">
                  <c:v>5.8394189099786686</c:v>
                </c:pt>
                <c:pt idx="21">
                  <c:v>6.1727773524173326</c:v>
                </c:pt>
                <c:pt idx="22">
                  <c:v>6.6355198118659606</c:v>
                </c:pt>
              </c:numCache>
            </c:numRef>
          </c:xVal>
          <c:yVal>
            <c:numRef>
              <c:f>'Заряд 3 - var T'!$X$4:$X$26</c:f>
              <c:numCache>
                <c:formatCode>0.00</c:formatCode>
                <c:ptCount val="23"/>
                <c:pt idx="0">
                  <c:v>0</c:v>
                </c:pt>
                <c:pt idx="1">
                  <c:v>711.65044593435118</c:v>
                </c:pt>
                <c:pt idx="2">
                  <c:v>763.09438375929074</c:v>
                </c:pt>
                <c:pt idx="3">
                  <c:v>868.71148025541345</c:v>
                </c:pt>
                <c:pt idx="4">
                  <c:v>946.60532095898975</c:v>
                </c:pt>
                <c:pt idx="5">
                  <c:v>1014.6793244036198</c:v>
                </c:pt>
                <c:pt idx="6">
                  <c:v>1093.1447703972569</c:v>
                </c:pt>
                <c:pt idx="7">
                  <c:v>1174.0594177843338</c:v>
                </c:pt>
                <c:pt idx="8">
                  <c:v>1250.1775061767246</c:v>
                </c:pt>
                <c:pt idx="9">
                  <c:v>1321.1130861904076</c:v>
                </c:pt>
                <c:pt idx="10">
                  <c:v>1387.546222008395</c:v>
                </c:pt>
                <c:pt idx="11">
                  <c:v>1460.6370162333099</c:v>
                </c:pt>
                <c:pt idx="12">
                  <c:v>1536.3227501137171</c:v>
                </c:pt>
                <c:pt idx="13">
                  <c:v>1613.558626555021</c:v>
                </c:pt>
                <c:pt idx="14">
                  <c:v>1587.4312662666682</c:v>
                </c:pt>
                <c:pt idx="15">
                  <c:v>1634.6609487419751</c:v>
                </c:pt>
                <c:pt idx="16">
                  <c:v>1579.2324181179747</c:v>
                </c:pt>
                <c:pt idx="17">
                  <c:v>1615.1205891997363</c:v>
                </c:pt>
                <c:pt idx="18">
                  <c:v>1649.2789404099701</c:v>
                </c:pt>
                <c:pt idx="19">
                  <c:v>1397.1345942983196</c:v>
                </c:pt>
                <c:pt idx="20">
                  <c:v>573.92159604082121</c:v>
                </c:pt>
                <c:pt idx="21">
                  <c:v>60.191645315096892</c:v>
                </c:pt>
                <c:pt idx="22">
                  <c:v>0</c:v>
                </c:pt>
              </c:numCache>
            </c:numRef>
          </c:yVal>
        </c:ser>
        <c:ser>
          <c:idx val="0"/>
          <c:order val="2"/>
          <c:tx>
            <c:v>T= -40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'Заряд 3 - var T'!$J$4:$J$26</c:f>
              <c:numCache>
                <c:formatCode>0.000</c:formatCode>
                <c:ptCount val="23"/>
                <c:pt idx="0">
                  <c:v>0</c:v>
                </c:pt>
                <c:pt idx="1">
                  <c:v>0.42919212835850512</c:v>
                </c:pt>
                <c:pt idx="2">
                  <c:v>0.84695382626077875</c:v>
                </c:pt>
                <c:pt idx="3">
                  <c:v>1.2577984100050486</c:v>
                </c:pt>
                <c:pt idx="4">
                  <c:v>1.6560222852582764</c:v>
                </c:pt>
                <c:pt idx="5">
                  <c:v>2.0460509153050035</c:v>
                </c:pt>
                <c:pt idx="6">
                  <c:v>2.4295495877423829</c:v>
                </c:pt>
                <c:pt idx="7">
                  <c:v>2.8061423073558851</c:v>
                </c:pt>
                <c:pt idx="8">
                  <c:v>3.1762101365327302</c:v>
                </c:pt>
                <c:pt idx="9">
                  <c:v>3.5406158174785736</c:v>
                </c:pt>
                <c:pt idx="10">
                  <c:v>3.9001072253605673</c:v>
                </c:pt>
                <c:pt idx="11">
                  <c:v>4.2552772541433423</c:v>
                </c:pt>
                <c:pt idx="12">
                  <c:v>4.6059733489638788</c:v>
                </c:pt>
                <c:pt idx="13">
                  <c:v>4.9523142677880756</c:v>
                </c:pt>
                <c:pt idx="14">
                  <c:v>5.2944717301457045</c:v>
                </c:pt>
                <c:pt idx="15">
                  <c:v>5.6380166004053551</c:v>
                </c:pt>
                <c:pt idx="16">
                  <c:v>5.9790733065510295</c:v>
                </c:pt>
                <c:pt idx="17">
                  <c:v>6.3230592872284106</c:v>
                </c:pt>
                <c:pt idx="18">
                  <c:v>6.6651346740629913</c:v>
                </c:pt>
                <c:pt idx="19">
                  <c:v>7.0054389602563036</c:v>
                </c:pt>
                <c:pt idx="20">
                  <c:v>7.3600059918185199</c:v>
                </c:pt>
                <c:pt idx="21">
                  <c:v>7.7996013307997876</c:v>
                </c:pt>
                <c:pt idx="22">
                  <c:v>8.483195120144714</c:v>
                </c:pt>
              </c:numCache>
            </c:numRef>
          </c:xVal>
          <c:yVal>
            <c:numRef>
              <c:f>'Заряд 3 - var T'!$H$4:$H$26</c:f>
              <c:numCache>
                <c:formatCode>General</c:formatCode>
                <c:ptCount val="23"/>
                <c:pt idx="0">
                  <c:v>0</c:v>
                </c:pt>
                <c:pt idx="1">
                  <c:v>526.39880368503225</c:v>
                </c:pt>
                <c:pt idx="2">
                  <c:v>568.0000665222251</c:v>
                </c:pt>
                <c:pt idx="3">
                  <c:v>653.94251164056948</c:v>
                </c:pt>
                <c:pt idx="4">
                  <c:v>717.74831985805224</c:v>
                </c:pt>
                <c:pt idx="5">
                  <c:v>773.78045890336284</c:v>
                </c:pt>
                <c:pt idx="6">
                  <c:v>838.65793496441893</c:v>
                </c:pt>
                <c:pt idx="7">
                  <c:v>905.86776252163179</c:v>
                </c:pt>
                <c:pt idx="8">
                  <c:v>969.36111430983215</c:v>
                </c:pt>
                <c:pt idx="9">
                  <c:v>1028.7522931276999</c:v>
                </c:pt>
                <c:pt idx="10">
                  <c:v>1084.5575216428711</c:v>
                </c:pt>
                <c:pt idx="11">
                  <c:v>1146.1512929488349</c:v>
                </c:pt>
                <c:pt idx="12">
                  <c:v>1210.138609910812</c:v>
                </c:pt>
                <c:pt idx="13">
                  <c:v>1275.6437372305181</c:v>
                </c:pt>
                <c:pt idx="14">
                  <c:v>1253.4617968927091</c:v>
                </c:pt>
                <c:pt idx="15">
                  <c:v>1293.5762025531487</c:v>
                </c:pt>
                <c:pt idx="16">
                  <c:v>1246.5058122862897</c:v>
                </c:pt>
                <c:pt idx="17">
                  <c:v>1276.9705615930925</c:v>
                </c:pt>
                <c:pt idx="18">
                  <c:v>1306.007045249479</c:v>
                </c:pt>
                <c:pt idx="19">
                  <c:v>1092.6261549271608</c:v>
                </c:pt>
                <c:pt idx="20">
                  <c:v>415.96385873159329</c:v>
                </c:pt>
                <c:pt idx="21">
                  <c:v>23.155226984964255</c:v>
                </c:pt>
                <c:pt idx="22">
                  <c:v>0</c:v>
                </c:pt>
              </c:numCache>
            </c:numRef>
          </c:yVal>
        </c:ser>
        <c:axId val="78031872"/>
        <c:axId val="78037760"/>
      </c:scatterChart>
      <c:valAx>
        <c:axId val="78031872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78037760"/>
        <c:crosses val="autoZero"/>
        <c:crossBetween val="midCat"/>
      </c:valAx>
      <c:valAx>
        <c:axId val="780377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Тяга, кГс</a:t>
                </a:r>
              </a:p>
            </c:rich>
          </c:tx>
        </c:title>
        <c:numFmt formatCode="0.00" sourceLinked="1"/>
        <c:majorTickMark val="none"/>
        <c:tickLblPos val="nextTo"/>
        <c:crossAx val="780318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pk</a:t>
            </a:r>
            <a:r>
              <a:rPr lang="ru-RU" baseline="0"/>
              <a:t>(</a:t>
            </a:r>
            <a:r>
              <a:rPr lang="en-US" baseline="0"/>
              <a:t>t)</a:t>
            </a:r>
          </a:p>
        </c:rich>
      </c:tx>
    </c:title>
    <c:plotArea>
      <c:layout/>
      <c:scatterChart>
        <c:scatterStyle val="lineMarker"/>
        <c:ser>
          <c:idx val="1"/>
          <c:order val="0"/>
          <c:tx>
            <c:v>T=20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'Заряд 3 - var T'!$R$57:$R$79</c:f>
              <c:numCache>
                <c:formatCode>0.000</c:formatCode>
                <c:ptCount val="23"/>
                <c:pt idx="0">
                  <c:v>0</c:v>
                </c:pt>
                <c:pt idx="1">
                  <c:v>2.4509803921568627E-2</c:v>
                </c:pt>
                <c:pt idx="2">
                  <c:v>4.7268773697189646E-2</c:v>
                </c:pt>
                <c:pt idx="3">
                  <c:v>6.9239520500135543E-2</c:v>
                </c:pt>
                <c:pt idx="4">
                  <c:v>8.9809728831925562E-2</c:v>
                </c:pt>
                <c:pt idx="5">
                  <c:v>0.10949646194499359</c:v>
                </c:pt>
                <c:pt idx="6">
                  <c:v>0.12849384030880698</c:v>
                </c:pt>
                <c:pt idx="7">
                  <c:v>0.14677622738776741</c:v>
                </c:pt>
                <c:pt idx="8">
                  <c:v>0.16439632566746032</c:v>
                </c:pt>
                <c:pt idx="9">
                  <c:v>0.18145211870706535</c:v>
                </c:pt>
                <c:pt idx="10">
                  <c:v>0.19802597195683241</c:v>
                </c:pt>
                <c:pt idx="11">
                  <c:v>0.21418203361980076</c:v>
                </c:pt>
                <c:pt idx="12">
                  <c:v>0.2299114653137514</c:v>
                </c:pt>
                <c:pt idx="13">
                  <c:v>0.24523135957626926</c:v>
                </c:pt>
                <c:pt idx="14">
                  <c:v>0.26016321478055526</c:v>
                </c:pt>
                <c:pt idx="15">
                  <c:v>0.27522317920729844</c:v>
                </c:pt>
                <c:pt idx="16">
                  <c:v>0.29005380349189025</c:v>
                </c:pt>
                <c:pt idx="17">
                  <c:v>0.30515461947285966</c:v>
                </c:pt>
                <c:pt idx="18">
                  <c:v>0.32007891410564804</c:v>
                </c:pt>
                <c:pt idx="19">
                  <c:v>0.33484055069044583</c:v>
                </c:pt>
                <c:pt idx="20">
                  <c:v>0.35093876069718799</c:v>
                </c:pt>
                <c:pt idx="21">
                  <c:v>0.37628186384002599</c:v>
                </c:pt>
                <c:pt idx="22">
                  <c:v>0.44064761667114322</c:v>
                </c:pt>
              </c:numCache>
            </c:numRef>
          </c:xVal>
          <c:yVal>
            <c:numRef>
              <c:f>'Заряд 3 - var T'!$M$57:$M$79</c:f>
              <c:numCache>
                <c:formatCode>0.00</c:formatCode>
                <c:ptCount val="23"/>
                <c:pt idx="0">
                  <c:v>0</c:v>
                </c:pt>
                <c:pt idx="1">
                  <c:v>70.118631679752951</c:v>
                </c:pt>
                <c:pt idx="2">
                  <c:v>76.577799450907165</c:v>
                </c:pt>
                <c:pt idx="3">
                  <c:v>90.285541005484745</c:v>
                </c:pt>
                <c:pt idx="4">
                  <c:v>100.75829174492101</c:v>
                </c:pt>
                <c:pt idx="5">
                  <c:v>110.14904825351616</c:v>
                </c:pt>
                <c:pt idx="6">
                  <c:v>121.23630203352693</c:v>
                </c:pt>
                <c:pt idx="7">
                  <c:v>132.95176711405847</c:v>
                </c:pt>
                <c:pt idx="8">
                  <c:v>144.22320300298117</c:v>
                </c:pt>
                <c:pt idx="9">
                  <c:v>154.93737985884309</c:v>
                </c:pt>
                <c:pt idx="10">
                  <c:v>165.14908620457365</c:v>
                </c:pt>
                <c:pt idx="11">
                  <c:v>176.57627494737432</c:v>
                </c:pt>
                <c:pt idx="12">
                  <c:v>188.61468848129314</c:v>
                </c:pt>
                <c:pt idx="13">
                  <c:v>201.10853646692092</c:v>
                </c:pt>
                <c:pt idx="14">
                  <c:v>196.85890504214495</c:v>
                </c:pt>
                <c:pt idx="15">
                  <c:v>204.55794324999619</c:v>
                </c:pt>
                <c:pt idx="16">
                  <c:v>195.53022140091414</c:v>
                </c:pt>
                <c:pt idx="17">
                  <c:v>201.36333464354655</c:v>
                </c:pt>
                <c:pt idx="18">
                  <c:v>206.95630268733839</c:v>
                </c:pt>
                <c:pt idx="19">
                  <c:v>166.63681596088284</c:v>
                </c:pt>
                <c:pt idx="20">
                  <c:v>53.587741342072881</c:v>
                </c:pt>
                <c:pt idx="21">
                  <c:v>5.2128808355303553</c:v>
                </c:pt>
                <c:pt idx="22">
                  <c:v>0</c:v>
                </c:pt>
              </c:numCache>
            </c:numRef>
          </c:yVal>
        </c:ser>
        <c:ser>
          <c:idx val="2"/>
          <c:order val="1"/>
          <c:tx>
            <c:v>T=50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'Заряд 3 - var T'!$Z$57:$Z$79</c:f>
              <c:numCache>
                <c:formatCode>0.000</c:formatCode>
                <c:ptCount val="23"/>
                <c:pt idx="0">
                  <c:v>0</c:v>
                </c:pt>
                <c:pt idx="1">
                  <c:v>2.4271844660194174E-2</c:v>
                </c:pt>
                <c:pt idx="2">
                  <c:v>4.6953577519012094E-2</c:v>
                </c:pt>
                <c:pt idx="3">
                  <c:v>6.8849762390567809E-2</c:v>
                </c:pt>
                <c:pt idx="4">
                  <c:v>8.9350161786135862E-2</c:v>
                </c:pt>
                <c:pt idx="5">
                  <c:v>0.10897008420510967</c:v>
                </c:pt>
                <c:pt idx="6">
                  <c:v>0.1279029913320161</c:v>
                </c:pt>
                <c:pt idx="7">
                  <c:v>0.14612333363374364</c:v>
                </c:pt>
                <c:pt idx="8">
                  <c:v>0.16368363473991299</c:v>
                </c:pt>
                <c:pt idx="9">
                  <c:v>0.18068154568375541</c:v>
                </c:pt>
                <c:pt idx="10">
                  <c:v>0.19719915239261226</c:v>
                </c:pt>
                <c:pt idx="11">
                  <c:v>0.21330038537032681</c:v>
                </c:pt>
                <c:pt idx="12">
                  <c:v>0.22897643622942054</c:v>
                </c:pt>
                <c:pt idx="13">
                  <c:v>0.244244339500683</c:v>
                </c:pt>
                <c:pt idx="14">
                  <c:v>0.25912552059847388</c:v>
                </c:pt>
                <c:pt idx="15">
                  <c:v>0.2741343761555734</c:v>
                </c:pt>
                <c:pt idx="16">
                  <c:v>0.28891466988015746</c:v>
                </c:pt>
                <c:pt idx="17">
                  <c:v>0.30396423835392072</c:v>
                </c:pt>
                <c:pt idx="18">
                  <c:v>0.3188378845384594</c:v>
                </c:pt>
                <c:pt idx="19">
                  <c:v>0.33354942468620324</c:v>
                </c:pt>
                <c:pt idx="20">
                  <c:v>0.34959300233835172</c:v>
                </c:pt>
                <c:pt idx="21">
                  <c:v>0.3748500988135649</c:v>
                </c:pt>
                <c:pt idx="22">
                  <c:v>0.43899741415188714</c:v>
                </c:pt>
              </c:numCache>
            </c:numRef>
          </c:xVal>
          <c:yVal>
            <c:numRef>
              <c:f>'Заряд 3 - var T'!$U$57:$U$79</c:f>
              <c:numCache>
                <c:formatCode>General</c:formatCode>
                <c:ptCount val="23"/>
                <c:pt idx="0">
                  <c:v>0</c:v>
                </c:pt>
                <c:pt idx="1">
                  <c:v>70.717085319876475</c:v>
                </c:pt>
                <c:pt idx="2">
                  <c:v>77.231381269835865</c:v>
                </c:pt>
                <c:pt idx="3">
                  <c:v>91.056116662351585</c:v>
                </c:pt>
                <c:pt idx="4">
                  <c:v>101.61825100286511</c:v>
                </c:pt>
                <c:pt idx="5">
                  <c:v>111.08915642882249</c:v>
                </c:pt>
                <c:pt idx="6">
                  <c:v>122.27103851552815</c:v>
                </c:pt>
                <c:pt idx="7">
                  <c:v>134.08649360663495</c:v>
                </c:pt>
                <c:pt idx="8">
                  <c:v>145.45412977322405</c:v>
                </c:pt>
                <c:pt idx="9">
                  <c:v>156.25975077148684</c:v>
                </c:pt>
                <c:pt idx="10">
                  <c:v>166.55861273745802</c:v>
                </c:pt>
                <c:pt idx="11">
                  <c:v>178.08333108880524</c:v>
                </c:pt>
                <c:pt idx="12">
                  <c:v>190.22449095744423</c:v>
                </c:pt>
                <c:pt idx="13">
                  <c:v>202.8249723531512</c:v>
                </c:pt>
                <c:pt idx="14">
                  <c:v>198.53907086242606</c:v>
                </c:pt>
                <c:pt idx="15">
                  <c:v>206.30381938621628</c:v>
                </c:pt>
                <c:pt idx="16">
                  <c:v>197.19904707460844</c:v>
                </c:pt>
                <c:pt idx="17">
                  <c:v>203.08194519994146</c:v>
                </c:pt>
                <c:pt idx="18">
                  <c:v>208.72264851757944</c:v>
                </c:pt>
                <c:pt idx="19">
                  <c:v>168.05904007880068</c:v>
                </c:pt>
                <c:pt idx="20">
                  <c:v>54.045105926975467</c:v>
                </c:pt>
                <c:pt idx="21">
                  <c:v>5.2573721131953297</c:v>
                </c:pt>
                <c:pt idx="22">
                  <c:v>0</c:v>
                </c:pt>
              </c:numCache>
            </c:numRef>
          </c:yVal>
        </c:ser>
        <c:ser>
          <c:idx val="0"/>
          <c:order val="2"/>
          <c:tx>
            <c:v>T= -40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'Заряд 3 - var T'!$J$57:$J$79</c:f>
              <c:numCache>
                <c:formatCode>0.000</c:formatCode>
                <c:ptCount val="23"/>
                <c:pt idx="0">
                  <c:v>0</c:v>
                </c:pt>
                <c:pt idx="1">
                  <c:v>2.4386258180703998E-2</c:v>
                </c:pt>
                <c:pt idx="2">
                  <c:v>4.7291085370850014E-2</c:v>
                </c:pt>
                <c:pt idx="3">
                  <c:v>6.940263803431837E-2</c:v>
                </c:pt>
                <c:pt idx="4">
                  <c:v>9.0104676472351999E-2</c:v>
                </c:pt>
                <c:pt idx="5">
                  <c:v>0.10991757768620072</c:v>
                </c:pt>
                <c:pt idx="6">
                  <c:v>0.12903670622228541</c:v>
                </c:pt>
                <c:pt idx="7">
                  <c:v>0.1474362612458836</c:v>
                </c:pt>
                <c:pt idx="8">
                  <c:v>0.16516928300164288</c:v>
                </c:pt>
                <c:pt idx="9">
                  <c:v>0.18233438300461033</c:v>
                </c:pt>
                <c:pt idx="10">
                  <c:v>0.19901445456775277</c:v>
                </c:pt>
                <c:pt idx="11">
                  <c:v>0.21527405700634933</c:v>
                </c:pt>
                <c:pt idx="12">
                  <c:v>0.23110429529486232</c:v>
                </c:pt>
                <c:pt idx="13">
                  <c:v>0.24652237151332798</c:v>
                </c:pt>
                <c:pt idx="14">
                  <c:v>0.26154992181346548</c:v>
                </c:pt>
                <c:pt idx="15">
                  <c:v>0.27670640236091976</c:v>
                </c:pt>
                <c:pt idx="16">
                  <c:v>0.29163207297385019</c:v>
                </c:pt>
                <c:pt idx="17">
                  <c:v>0.30682966688448499</c:v>
                </c:pt>
                <c:pt idx="18">
                  <c:v>0.32184960815902425</c:v>
                </c:pt>
                <c:pt idx="19">
                  <c:v>0.33670584894461159</c:v>
                </c:pt>
                <c:pt idx="20">
                  <c:v>0.35290722896797638</c:v>
                </c:pt>
                <c:pt idx="21">
                  <c:v>0.378412750688496</c:v>
                </c:pt>
                <c:pt idx="22">
                  <c:v>0.44319100999000538</c:v>
                </c:pt>
              </c:numCache>
            </c:numRef>
          </c:xVal>
          <c:yVal>
            <c:numRef>
              <c:f>'Заряд 3 - var T'!$E$57:$E$79</c:f>
              <c:numCache>
                <c:formatCode>General</c:formatCode>
                <c:ptCount val="23"/>
                <c:pt idx="0">
                  <c:v>0</c:v>
                </c:pt>
                <c:pt idx="1">
                  <c:v>69.007672774751953</c:v>
                </c:pt>
                <c:pt idx="2">
                  <c:v>75.364501555792486</c:v>
                </c:pt>
                <c:pt idx="3">
                  <c:v>88.855057789112465</c:v>
                </c:pt>
                <c:pt idx="4">
                  <c:v>99.161878369686733</c:v>
                </c:pt>
                <c:pt idx="5">
                  <c:v>108.40384782528298</c:v>
                </c:pt>
                <c:pt idx="6">
                  <c:v>119.31543526635026</c:v>
                </c:pt>
                <c:pt idx="7">
                  <c:v>130.84528063432253</c:v>
                </c:pt>
                <c:pt idx="8">
                  <c:v>141.93813200479514</c:v>
                </c:pt>
                <c:pt idx="9">
                  <c:v>152.48255354879961</c:v>
                </c:pt>
                <c:pt idx="10">
                  <c:v>162.53246572045308</c:v>
                </c:pt>
                <c:pt idx="11">
                  <c:v>173.77860219813076</c:v>
                </c:pt>
                <c:pt idx="12">
                  <c:v>185.62627922739736</c:v>
                </c:pt>
                <c:pt idx="13">
                  <c:v>197.92217480943569</c:v>
                </c:pt>
                <c:pt idx="14">
                  <c:v>193.73987450281302</c:v>
                </c:pt>
                <c:pt idx="15">
                  <c:v>201.31692922564602</c:v>
                </c:pt>
                <c:pt idx="16">
                  <c:v>192.43224251201795</c:v>
                </c:pt>
                <c:pt idx="17">
                  <c:v>198.17293596627829</c:v>
                </c:pt>
                <c:pt idx="18">
                  <c:v>203.6772890798471</c:v>
                </c:pt>
                <c:pt idx="19">
                  <c:v>163.99662390125641</c:v>
                </c:pt>
                <c:pt idx="20">
                  <c:v>52.73869769965313</c:v>
                </c:pt>
                <c:pt idx="21">
                  <c:v>5.1302880032658642</c:v>
                </c:pt>
                <c:pt idx="22">
                  <c:v>0</c:v>
                </c:pt>
              </c:numCache>
            </c:numRef>
          </c:yVal>
        </c:ser>
        <c:axId val="78104448"/>
        <c:axId val="78105984"/>
      </c:scatterChart>
      <c:valAx>
        <c:axId val="78104448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78105984"/>
        <c:crosses val="autoZero"/>
        <c:crossBetween val="midCat"/>
      </c:valAx>
      <c:valAx>
        <c:axId val="78105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Внутрикамерное давление, МПа</a:t>
                </a:r>
              </a:p>
            </c:rich>
          </c:tx>
        </c:title>
        <c:numFmt formatCode="0.00" sourceLinked="1"/>
        <c:majorTickMark val="none"/>
        <c:tickLblPos val="nextTo"/>
        <c:crossAx val="7810444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baseline="0"/>
              <a:t>U</a:t>
            </a:r>
            <a:r>
              <a:rPr lang="ru-RU" baseline="0"/>
              <a:t>г(</a:t>
            </a:r>
            <a:r>
              <a:rPr lang="en-US" baseline="0"/>
              <a:t>t)</a:t>
            </a:r>
          </a:p>
        </c:rich>
      </c:tx>
    </c:title>
    <c:plotArea>
      <c:layout/>
      <c:scatterChart>
        <c:scatterStyle val="lineMarker"/>
        <c:ser>
          <c:idx val="1"/>
          <c:order val="0"/>
          <c:tx>
            <c:v>T=20</c:v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'Заряд 3 - var T'!$R$57:$R$79</c:f>
              <c:numCache>
                <c:formatCode>0.000</c:formatCode>
                <c:ptCount val="23"/>
                <c:pt idx="0">
                  <c:v>0</c:v>
                </c:pt>
                <c:pt idx="1">
                  <c:v>2.4509803921568627E-2</c:v>
                </c:pt>
                <c:pt idx="2">
                  <c:v>4.7268773697189646E-2</c:v>
                </c:pt>
                <c:pt idx="3">
                  <c:v>6.9239520500135543E-2</c:v>
                </c:pt>
                <c:pt idx="4">
                  <c:v>8.9809728831925562E-2</c:v>
                </c:pt>
                <c:pt idx="5">
                  <c:v>0.10949646194499359</c:v>
                </c:pt>
                <c:pt idx="6">
                  <c:v>0.12849384030880698</c:v>
                </c:pt>
                <c:pt idx="7">
                  <c:v>0.14677622738776741</c:v>
                </c:pt>
                <c:pt idx="8">
                  <c:v>0.16439632566746032</c:v>
                </c:pt>
                <c:pt idx="9">
                  <c:v>0.18145211870706535</c:v>
                </c:pt>
                <c:pt idx="10">
                  <c:v>0.19802597195683241</c:v>
                </c:pt>
                <c:pt idx="11">
                  <c:v>0.21418203361980076</c:v>
                </c:pt>
                <c:pt idx="12">
                  <c:v>0.2299114653137514</c:v>
                </c:pt>
                <c:pt idx="13">
                  <c:v>0.24523135957626926</c:v>
                </c:pt>
                <c:pt idx="14">
                  <c:v>0.26016321478055526</c:v>
                </c:pt>
                <c:pt idx="15">
                  <c:v>0.27522317920729844</c:v>
                </c:pt>
                <c:pt idx="16">
                  <c:v>0.29005380349189025</c:v>
                </c:pt>
                <c:pt idx="17">
                  <c:v>0.30515461947285966</c:v>
                </c:pt>
                <c:pt idx="18">
                  <c:v>0.32007891410564804</c:v>
                </c:pt>
                <c:pt idx="19">
                  <c:v>0.33484055069044583</c:v>
                </c:pt>
                <c:pt idx="20">
                  <c:v>0.35093876069718799</c:v>
                </c:pt>
                <c:pt idx="21">
                  <c:v>0.37628186384002599</c:v>
                </c:pt>
                <c:pt idx="22">
                  <c:v>0.44064761667114322</c:v>
                </c:pt>
              </c:numCache>
            </c:numRef>
          </c:xVal>
          <c:yVal>
            <c:numRef>
              <c:f>'Заряд 3 - var T'!$Q$57:$Q$79</c:f>
              <c:numCache>
                <c:formatCode>0.000</c:formatCode>
                <c:ptCount val="23"/>
                <c:pt idx="0">
                  <c:v>102</c:v>
                </c:pt>
                <c:pt idx="1">
                  <c:v>109.84679994952816</c:v>
                </c:pt>
                <c:pt idx="2">
                  <c:v>113.78766604623536</c:v>
                </c:pt>
                <c:pt idx="3">
                  <c:v>121.53498689346775</c:v>
                </c:pt>
                <c:pt idx="4">
                  <c:v>126.98907358786224</c:v>
                </c:pt>
                <c:pt idx="5">
                  <c:v>131.59710524911446</c:v>
                </c:pt>
                <c:pt idx="6">
                  <c:v>136.74363140888892</c:v>
                </c:pt>
                <c:pt idx="7">
                  <c:v>141.88343108626358</c:v>
                </c:pt>
                <c:pt idx="8">
                  <c:v>146.57776359004723</c:v>
                </c:pt>
                <c:pt idx="9">
                  <c:v>150.83999854017881</c:v>
                </c:pt>
                <c:pt idx="10">
                  <c:v>154.74068198998677</c:v>
                </c:pt>
                <c:pt idx="11">
                  <c:v>158.93771934312605</c:v>
                </c:pt>
                <c:pt idx="12">
                  <c:v>163.18650489100162</c:v>
                </c:pt>
                <c:pt idx="13">
                  <c:v>167.42728654925682</c:v>
                </c:pt>
                <c:pt idx="14">
                  <c:v>166.00304815863637</c:v>
                </c:pt>
                <c:pt idx="15">
                  <c:v>168.57011222362118</c:v>
                </c:pt>
                <c:pt idx="16">
                  <c:v>165.55396762337793</c:v>
                </c:pt>
                <c:pt idx="17">
                  <c:v>167.51210435818854</c:v>
                </c:pt>
                <c:pt idx="18">
                  <c:v>169.35791540719893</c:v>
                </c:pt>
                <c:pt idx="19">
                  <c:v>155.29676895462049</c:v>
                </c:pt>
                <c:pt idx="20">
                  <c:v>98.646167594772351</c:v>
                </c:pt>
                <c:pt idx="21">
                  <c:v>38.840530717623963</c:v>
                </c:pt>
                <c:pt idx="22">
                  <c:v>0</c:v>
                </c:pt>
              </c:numCache>
            </c:numRef>
          </c:yVal>
        </c:ser>
        <c:ser>
          <c:idx val="2"/>
          <c:order val="1"/>
          <c:tx>
            <c:v>T=50</c:v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'Заряд 3 - var T'!$Z$57:$Z$79</c:f>
              <c:numCache>
                <c:formatCode>0.000</c:formatCode>
                <c:ptCount val="23"/>
                <c:pt idx="0">
                  <c:v>0</c:v>
                </c:pt>
                <c:pt idx="1">
                  <c:v>2.4271844660194174E-2</c:v>
                </c:pt>
                <c:pt idx="2">
                  <c:v>4.6953577519012094E-2</c:v>
                </c:pt>
                <c:pt idx="3">
                  <c:v>6.8849762390567809E-2</c:v>
                </c:pt>
                <c:pt idx="4">
                  <c:v>8.9350161786135862E-2</c:v>
                </c:pt>
                <c:pt idx="5">
                  <c:v>0.10897008420510967</c:v>
                </c:pt>
                <c:pt idx="6">
                  <c:v>0.1279029913320161</c:v>
                </c:pt>
                <c:pt idx="7">
                  <c:v>0.14612333363374364</c:v>
                </c:pt>
                <c:pt idx="8">
                  <c:v>0.16368363473991299</c:v>
                </c:pt>
                <c:pt idx="9">
                  <c:v>0.18068154568375541</c:v>
                </c:pt>
                <c:pt idx="10">
                  <c:v>0.19719915239261226</c:v>
                </c:pt>
                <c:pt idx="11">
                  <c:v>0.21330038537032681</c:v>
                </c:pt>
                <c:pt idx="12">
                  <c:v>0.22897643622942054</c:v>
                </c:pt>
                <c:pt idx="13">
                  <c:v>0.244244339500683</c:v>
                </c:pt>
                <c:pt idx="14">
                  <c:v>0.25912552059847388</c:v>
                </c:pt>
                <c:pt idx="15">
                  <c:v>0.2741343761555734</c:v>
                </c:pt>
                <c:pt idx="16">
                  <c:v>0.28891466988015746</c:v>
                </c:pt>
                <c:pt idx="17">
                  <c:v>0.30396423835392072</c:v>
                </c:pt>
                <c:pt idx="18">
                  <c:v>0.3188378845384594</c:v>
                </c:pt>
                <c:pt idx="19">
                  <c:v>0.33354942468620324</c:v>
                </c:pt>
                <c:pt idx="20">
                  <c:v>0.34959300233835172</c:v>
                </c:pt>
                <c:pt idx="21">
                  <c:v>0.3748500988135649</c:v>
                </c:pt>
                <c:pt idx="22">
                  <c:v>0.43899741415188714</c:v>
                </c:pt>
              </c:numCache>
            </c:numRef>
          </c:xVal>
          <c:yVal>
            <c:numRef>
              <c:f>'Заряд 3 - var T'!$Y$57:$Y$79</c:f>
              <c:numCache>
                <c:formatCode>0.000</c:formatCode>
                <c:ptCount val="23"/>
                <c:pt idx="0">
                  <c:v>103</c:v>
                </c:pt>
                <c:pt idx="1">
                  <c:v>110.22085550346657</c:v>
                </c:pt>
                <c:pt idx="2">
                  <c:v>114.17514122506473</c:v>
                </c:pt>
                <c:pt idx="3">
                  <c:v>121.94884361816247</c:v>
                </c:pt>
                <c:pt idx="4">
                  <c:v>127.42150282828483</c:v>
                </c:pt>
                <c:pt idx="5">
                  <c:v>132.04522597837777</c:v>
                </c:pt>
                <c:pt idx="6">
                  <c:v>137.20927733410178</c:v>
                </c:pt>
                <c:pt idx="7">
                  <c:v>142.3665793020879</c:v>
                </c:pt>
                <c:pt idx="8">
                  <c:v>147.07689717045113</c:v>
                </c:pt>
                <c:pt idx="9">
                  <c:v>151.35364608599636</c:v>
                </c:pt>
                <c:pt idx="10">
                  <c:v>155.26761232883268</c:v>
                </c:pt>
                <c:pt idx="11">
                  <c:v>159.47894163342409</c:v>
                </c:pt>
                <c:pt idx="12">
                  <c:v>163.74219534816851</c:v>
                </c:pt>
                <c:pt idx="13">
                  <c:v>167.99741791806616</c:v>
                </c:pt>
                <c:pt idx="14">
                  <c:v>166.56832964305801</c:v>
                </c:pt>
                <c:pt idx="15">
                  <c:v>169.14413519683666</c:v>
                </c:pt>
                <c:pt idx="16">
                  <c:v>166.11771987737609</c:v>
                </c:pt>
                <c:pt idx="17">
                  <c:v>168.08252455263977</c:v>
                </c:pt>
                <c:pt idx="18">
                  <c:v>169.93462104532949</c:v>
                </c:pt>
                <c:pt idx="19">
                  <c:v>155.82559290727841</c:v>
                </c:pt>
                <c:pt idx="20">
                  <c:v>98.982082222057798</c:v>
                </c:pt>
                <c:pt idx="21">
                  <c:v>38.972792342355042</c:v>
                </c:pt>
                <c:pt idx="22">
                  <c:v>0</c:v>
                </c:pt>
              </c:numCache>
            </c:numRef>
          </c:yVal>
        </c:ser>
        <c:ser>
          <c:idx val="0"/>
          <c:order val="2"/>
          <c:tx>
            <c:v>T= -40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'Заряд 3 - var T'!$J$57:$J$79</c:f>
              <c:numCache>
                <c:formatCode>0.000</c:formatCode>
                <c:ptCount val="23"/>
                <c:pt idx="0">
                  <c:v>0</c:v>
                </c:pt>
                <c:pt idx="1">
                  <c:v>2.4386258180703998E-2</c:v>
                </c:pt>
                <c:pt idx="2">
                  <c:v>4.7291085370850014E-2</c:v>
                </c:pt>
                <c:pt idx="3">
                  <c:v>6.940263803431837E-2</c:v>
                </c:pt>
                <c:pt idx="4">
                  <c:v>9.0104676472351999E-2</c:v>
                </c:pt>
                <c:pt idx="5">
                  <c:v>0.10991757768620072</c:v>
                </c:pt>
                <c:pt idx="6">
                  <c:v>0.12903670622228541</c:v>
                </c:pt>
                <c:pt idx="7">
                  <c:v>0.1474362612458836</c:v>
                </c:pt>
                <c:pt idx="8">
                  <c:v>0.16516928300164288</c:v>
                </c:pt>
                <c:pt idx="9">
                  <c:v>0.18233438300461033</c:v>
                </c:pt>
                <c:pt idx="10">
                  <c:v>0.19901445456775277</c:v>
                </c:pt>
                <c:pt idx="11">
                  <c:v>0.21527405700634933</c:v>
                </c:pt>
                <c:pt idx="12">
                  <c:v>0.23110429529486232</c:v>
                </c:pt>
                <c:pt idx="13">
                  <c:v>0.24652237151332798</c:v>
                </c:pt>
                <c:pt idx="14">
                  <c:v>0.26154992181346548</c:v>
                </c:pt>
                <c:pt idx="15">
                  <c:v>0.27670640236091976</c:v>
                </c:pt>
                <c:pt idx="16">
                  <c:v>0.29163207297385019</c:v>
                </c:pt>
                <c:pt idx="17">
                  <c:v>0.30682966688448499</c:v>
                </c:pt>
                <c:pt idx="18">
                  <c:v>0.32184960815902425</c:v>
                </c:pt>
                <c:pt idx="19">
                  <c:v>0.33670584894461159</c:v>
                </c:pt>
                <c:pt idx="20">
                  <c:v>0.35290722896797638</c:v>
                </c:pt>
                <c:pt idx="21">
                  <c:v>0.378412750688496</c:v>
                </c:pt>
                <c:pt idx="22">
                  <c:v>0.44319100999000538</c:v>
                </c:pt>
              </c:numCache>
            </c:numRef>
          </c:xVal>
          <c:yVal>
            <c:numRef>
              <c:f>'Заряд 3 - var T'!$I$57:$I$79</c:f>
              <c:numCache>
                <c:formatCode>0.000</c:formatCode>
                <c:ptCount val="23"/>
                <c:pt idx="0">
                  <c:v>102.51675273323251</c:v>
                </c:pt>
                <c:pt idx="1">
                  <c:v>109.14729804534548</c:v>
                </c:pt>
                <c:pt idx="2">
                  <c:v>113.06306879708089</c:v>
                </c:pt>
                <c:pt idx="3">
                  <c:v>120.76105488274135</c:v>
                </c:pt>
                <c:pt idx="4">
                  <c:v>126.18041007808401</c:v>
                </c:pt>
                <c:pt idx="5">
                  <c:v>130.75909789934198</c:v>
                </c:pt>
                <c:pt idx="6">
                  <c:v>135.87285109849913</c:v>
                </c:pt>
                <c:pt idx="7">
                  <c:v>140.97992064934212</c:v>
                </c:pt>
                <c:pt idx="8">
                  <c:v>145.64435975134484</c:v>
                </c:pt>
                <c:pt idx="9">
                  <c:v>149.87945288701226</c:v>
                </c:pt>
                <c:pt idx="10">
                  <c:v>153.75529687402286</c:v>
                </c:pt>
                <c:pt idx="11">
                  <c:v>157.92560758950137</c:v>
                </c:pt>
                <c:pt idx="12">
                  <c:v>162.14733696839829</c:v>
                </c:pt>
                <c:pt idx="13">
                  <c:v>166.36111342626015</c:v>
                </c:pt>
                <c:pt idx="14">
                  <c:v>164.94594455306517</c:v>
                </c:pt>
                <c:pt idx="15">
                  <c:v>167.49666161292589</c:v>
                </c:pt>
                <c:pt idx="16">
                  <c:v>164.49972375236149</c:v>
                </c:pt>
                <c:pt idx="17">
                  <c:v>166.445391117329</c:v>
                </c:pt>
                <c:pt idx="18">
                  <c:v>168.27944808388887</c:v>
                </c:pt>
                <c:pt idx="19">
                  <c:v>154.30784268961236</c:v>
                </c:pt>
                <c:pt idx="20">
                  <c:v>98.017991060685091</c:v>
                </c:pt>
                <c:pt idx="21">
                  <c:v>38.593195108312358</c:v>
                </c:pt>
                <c:pt idx="22">
                  <c:v>0</c:v>
                </c:pt>
              </c:numCache>
            </c:numRef>
          </c:yVal>
        </c:ser>
        <c:axId val="78148736"/>
        <c:axId val="78150272"/>
      </c:scatterChart>
      <c:valAx>
        <c:axId val="78148736"/>
        <c:scaling>
          <c:orientation val="minMax"/>
        </c:scaling>
        <c:axPos val="b"/>
        <c:majorGridlines/>
        <c:minorGridlines/>
        <c:numFmt formatCode="0.000" sourceLinked="1"/>
        <c:majorTickMark val="none"/>
        <c:tickLblPos val="nextTo"/>
        <c:crossAx val="78150272"/>
        <c:crosses val="autoZero"/>
        <c:crossBetween val="midCat"/>
      </c:valAx>
      <c:valAx>
        <c:axId val="78150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baseline="0"/>
                  <a:t>Скорость горения, мм/с</a:t>
                </a:r>
              </a:p>
            </c:rich>
          </c:tx>
        </c:title>
        <c:numFmt formatCode="0.000" sourceLinked="1"/>
        <c:majorTickMark val="none"/>
        <c:tickLblPos val="nextTo"/>
        <c:crossAx val="7814873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56028</xdr:colOff>
      <xdr:row>0</xdr:row>
      <xdr:rowOff>67237</xdr:rowOff>
    </xdr:from>
    <xdr:to>
      <xdr:col>25</xdr:col>
      <xdr:colOff>493059</xdr:colOff>
      <xdr:row>27</xdr:row>
      <xdr:rowOff>100853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537883</xdr:colOff>
      <xdr:row>29</xdr:row>
      <xdr:rowOff>67235</xdr:rowOff>
    </xdr:from>
    <xdr:to>
      <xdr:col>28</xdr:col>
      <xdr:colOff>582706</xdr:colOff>
      <xdr:row>60</xdr:row>
      <xdr:rowOff>44824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526678</xdr:colOff>
      <xdr:row>88</xdr:row>
      <xdr:rowOff>134472</xdr:rowOff>
    </xdr:from>
    <xdr:to>
      <xdr:col>26</xdr:col>
      <xdr:colOff>44824</xdr:colOff>
      <xdr:row>116</xdr:row>
      <xdr:rowOff>178276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448235</xdr:colOff>
      <xdr:row>61</xdr:row>
      <xdr:rowOff>89647</xdr:rowOff>
    </xdr:from>
    <xdr:to>
      <xdr:col>25</xdr:col>
      <xdr:colOff>571499</xdr:colOff>
      <xdr:row>88</xdr:row>
      <xdr:rowOff>43803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107158</xdr:colOff>
      <xdr:row>27</xdr:row>
      <xdr:rowOff>130969</xdr:rowOff>
    </xdr:from>
    <xdr:to>
      <xdr:col>10</xdr:col>
      <xdr:colOff>321470</xdr:colOff>
      <xdr:row>48</xdr:row>
      <xdr:rowOff>59531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726282</xdr:colOff>
      <xdr:row>27</xdr:row>
      <xdr:rowOff>142875</xdr:rowOff>
    </xdr:from>
    <xdr:to>
      <xdr:col>23</xdr:col>
      <xdr:colOff>0</xdr:colOff>
      <xdr:row>48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369094</xdr:colOff>
      <xdr:row>27</xdr:row>
      <xdr:rowOff>166687</xdr:rowOff>
    </xdr:from>
    <xdr:to>
      <xdr:col>33</xdr:col>
      <xdr:colOff>580793</xdr:colOff>
      <xdr:row>48</xdr:row>
      <xdr:rowOff>95249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107158</xdr:colOff>
      <xdr:row>80</xdr:row>
      <xdr:rowOff>130969</xdr:rowOff>
    </xdr:from>
    <xdr:to>
      <xdr:col>10</xdr:col>
      <xdr:colOff>321470</xdr:colOff>
      <xdr:row>101</xdr:row>
      <xdr:rowOff>59531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726282</xdr:colOff>
      <xdr:row>80</xdr:row>
      <xdr:rowOff>142875</xdr:rowOff>
    </xdr:from>
    <xdr:to>
      <xdr:col>23</xdr:col>
      <xdr:colOff>0</xdr:colOff>
      <xdr:row>101</xdr:row>
      <xdr:rowOff>71437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369094</xdr:colOff>
      <xdr:row>80</xdr:row>
      <xdr:rowOff>166687</xdr:rowOff>
    </xdr:from>
    <xdr:to>
      <xdr:col>35</xdr:col>
      <xdr:colOff>0</xdr:colOff>
      <xdr:row>98</xdr:row>
      <xdr:rowOff>142875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170089</xdr:colOff>
      <xdr:row>133</xdr:row>
      <xdr:rowOff>104322</xdr:rowOff>
    </xdr:from>
    <xdr:to>
      <xdr:col>34</xdr:col>
      <xdr:colOff>349250</xdr:colOff>
      <xdr:row>154</xdr:row>
      <xdr:rowOff>174626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79375</xdr:colOff>
      <xdr:row>133</xdr:row>
      <xdr:rowOff>95249</xdr:rowOff>
    </xdr:from>
    <xdr:to>
      <xdr:col>10</xdr:col>
      <xdr:colOff>748770</xdr:colOff>
      <xdr:row>154</xdr:row>
      <xdr:rowOff>158750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909412</xdr:colOff>
      <xdr:row>133</xdr:row>
      <xdr:rowOff>122465</xdr:rowOff>
    </xdr:from>
    <xdr:to>
      <xdr:col>21</xdr:col>
      <xdr:colOff>993700</xdr:colOff>
      <xdr:row>154</xdr:row>
      <xdr:rowOff>174625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173183</xdr:colOff>
      <xdr:row>255</xdr:row>
      <xdr:rowOff>138547</xdr:rowOff>
    </xdr:from>
    <xdr:to>
      <xdr:col>5</xdr:col>
      <xdr:colOff>381001</xdr:colOff>
      <xdr:row>270</xdr:row>
      <xdr:rowOff>25979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69273</xdr:colOff>
      <xdr:row>255</xdr:row>
      <xdr:rowOff>147205</xdr:rowOff>
    </xdr:from>
    <xdr:to>
      <xdr:col>11</xdr:col>
      <xdr:colOff>450273</xdr:colOff>
      <xdr:row>270</xdr:row>
      <xdr:rowOff>34637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173183</xdr:colOff>
      <xdr:row>306</xdr:row>
      <xdr:rowOff>138547</xdr:rowOff>
    </xdr:from>
    <xdr:to>
      <xdr:col>5</xdr:col>
      <xdr:colOff>381001</xdr:colOff>
      <xdr:row>321</xdr:row>
      <xdr:rowOff>25979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69272</xdr:colOff>
      <xdr:row>306</xdr:row>
      <xdr:rowOff>147204</xdr:rowOff>
    </xdr:from>
    <xdr:to>
      <xdr:col>17</xdr:col>
      <xdr:colOff>355023</xdr:colOff>
      <xdr:row>336</xdr:row>
      <xdr:rowOff>43296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174625</xdr:colOff>
      <xdr:row>284</xdr:row>
      <xdr:rowOff>95250</xdr:rowOff>
    </xdr:from>
    <xdr:to>
      <xdr:col>40</xdr:col>
      <xdr:colOff>238125</xdr:colOff>
      <xdr:row>298</xdr:row>
      <xdr:rowOff>173182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333375</xdr:colOff>
      <xdr:row>284</xdr:row>
      <xdr:rowOff>142875</xdr:rowOff>
    </xdr:from>
    <xdr:to>
      <xdr:col>35</xdr:col>
      <xdr:colOff>223693</xdr:colOff>
      <xdr:row>298</xdr:row>
      <xdr:rowOff>142875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476250</xdr:colOff>
      <xdr:row>334</xdr:row>
      <xdr:rowOff>95250</xdr:rowOff>
    </xdr:from>
    <xdr:to>
      <xdr:col>35</xdr:col>
      <xdr:colOff>366568</xdr:colOff>
      <xdr:row>348</xdr:row>
      <xdr:rowOff>189057</xdr:rowOff>
    </xdr:to>
    <xdr:graphicFrame macro="">
      <xdr:nvGraphicFramePr>
        <xdr:cNvPr id="35" name="Диаграмма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36</xdr:col>
      <xdr:colOff>47625</xdr:colOff>
      <xdr:row>334</xdr:row>
      <xdr:rowOff>78516</xdr:rowOff>
    </xdr:from>
    <xdr:to>
      <xdr:col>40</xdr:col>
      <xdr:colOff>508000</xdr:colOff>
      <xdr:row>348</xdr:row>
      <xdr:rowOff>142876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</xdr:colOff>
      <xdr:row>28</xdr:row>
      <xdr:rowOff>95249</xdr:rowOff>
    </xdr:from>
    <xdr:to>
      <xdr:col>21</xdr:col>
      <xdr:colOff>47625</xdr:colOff>
      <xdr:row>49</xdr:row>
      <xdr:rowOff>158750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149793</xdr:colOff>
      <xdr:row>51</xdr:row>
      <xdr:rowOff>62933</xdr:rowOff>
    </xdr:from>
    <xdr:to>
      <xdr:col>21</xdr:col>
      <xdr:colOff>95250</xdr:colOff>
      <xdr:row>72</xdr:row>
      <xdr:rowOff>115093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140494</xdr:colOff>
      <xdr:row>73</xdr:row>
      <xdr:rowOff>114300</xdr:rowOff>
    </xdr:from>
    <xdr:to>
      <xdr:col>21</xdr:col>
      <xdr:colOff>83344</xdr:colOff>
      <xdr:row>94</xdr:row>
      <xdr:rowOff>184604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321468</xdr:colOff>
      <xdr:row>28</xdr:row>
      <xdr:rowOff>107158</xdr:rowOff>
    </xdr:from>
    <xdr:to>
      <xdr:col>32</xdr:col>
      <xdr:colOff>595312</xdr:colOff>
      <xdr:row>49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557893</xdr:colOff>
      <xdr:row>121</xdr:row>
      <xdr:rowOff>108858</xdr:rowOff>
    </xdr:from>
    <xdr:to>
      <xdr:col>38</xdr:col>
      <xdr:colOff>231321</xdr:colOff>
      <xdr:row>135</xdr:row>
      <xdr:rowOff>176893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28</xdr:row>
      <xdr:rowOff>85725</xdr:rowOff>
    </xdr:from>
    <xdr:to>
      <xdr:col>9</xdr:col>
      <xdr:colOff>314325</xdr:colOff>
      <xdr:row>42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514349</xdr:colOff>
      <xdr:row>28</xdr:row>
      <xdr:rowOff>126999</xdr:rowOff>
    </xdr:from>
    <xdr:to>
      <xdr:col>17</xdr:col>
      <xdr:colOff>211668</xdr:colOff>
      <xdr:row>43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342900</xdr:colOff>
      <xdr:row>28</xdr:row>
      <xdr:rowOff>142875</xdr:rowOff>
    </xdr:from>
    <xdr:to>
      <xdr:col>25</xdr:col>
      <xdr:colOff>38100</xdr:colOff>
      <xdr:row>43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225137</xdr:colOff>
      <xdr:row>44</xdr:row>
      <xdr:rowOff>17317</xdr:rowOff>
    </xdr:from>
    <xdr:to>
      <xdr:col>13</xdr:col>
      <xdr:colOff>502227</xdr:colOff>
      <xdr:row>65</xdr:row>
      <xdr:rowOff>34636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718705</xdr:colOff>
      <xdr:row>47</xdr:row>
      <xdr:rowOff>51954</xdr:rowOff>
    </xdr:from>
    <xdr:to>
      <xdr:col>20</xdr:col>
      <xdr:colOff>112569</xdr:colOff>
      <xdr:row>61</xdr:row>
      <xdr:rowOff>129886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8"/>
  <sheetViews>
    <sheetView topLeftCell="A55" zoomScale="90" zoomScaleNormal="90" workbookViewId="0">
      <selection activeCell="A63" sqref="A63:K88"/>
    </sheetView>
  </sheetViews>
  <sheetFormatPr defaultRowHeight="15"/>
  <cols>
    <col min="1" max="1" width="17.28515625" customWidth="1"/>
    <col min="2" max="2" width="12.85546875" customWidth="1"/>
    <col min="3" max="3" width="22.140625" customWidth="1"/>
    <col min="4" max="4" width="25.7109375" customWidth="1"/>
    <col min="6" max="6" width="12.7109375" bestFit="1" customWidth="1"/>
    <col min="7" max="7" width="10.7109375" bestFit="1" customWidth="1"/>
    <col min="9" max="9" width="18.7109375" customWidth="1"/>
    <col min="10" max="10" width="22.140625" customWidth="1"/>
    <col min="11" max="11" width="13.7109375" customWidth="1"/>
  </cols>
  <sheetData>
    <row r="1" spans="1:11" ht="30.75" customHeight="1">
      <c r="A1" s="201" t="s">
        <v>15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>
      <c r="A2" t="s">
        <v>0</v>
      </c>
      <c r="B2" t="s">
        <v>1</v>
      </c>
      <c r="C2" t="s">
        <v>2</v>
      </c>
      <c r="D2" t="s">
        <v>4</v>
      </c>
      <c r="E2" s="5" t="s">
        <v>8</v>
      </c>
      <c r="F2" t="s">
        <v>7</v>
      </c>
      <c r="G2" s="5" t="s">
        <v>9</v>
      </c>
      <c r="H2" s="5" t="s">
        <v>10</v>
      </c>
      <c r="I2" s="3" t="s">
        <v>13</v>
      </c>
      <c r="J2" t="s">
        <v>12</v>
      </c>
      <c r="K2" s="1" t="s">
        <v>11</v>
      </c>
    </row>
    <row r="3" spans="1:11">
      <c r="A3">
        <v>71837.3</v>
      </c>
      <c r="B3">
        <v>0</v>
      </c>
      <c r="C3">
        <f>A3*2</f>
        <v>143674.6</v>
      </c>
      <c r="D3">
        <f>((3.8*(10^(-3)/98066.5^0.17)*1683*C3*(0.95*338.917*2634)^0.5)/(957*0.647*0.96))^((1/(1-0.17)))</f>
        <v>2462334.883264563</v>
      </c>
      <c r="E3" s="5">
        <f>D3*10^(-6)</f>
        <v>2.4623348832645631</v>
      </c>
      <c r="F3">
        <f>1*0.95*E3*957*((0.293-(0.098/E3))/0.178)</f>
        <v>3184.395536079513</v>
      </c>
      <c r="G3" s="5">
        <v>0</v>
      </c>
      <c r="H3" s="5">
        <v>0</v>
      </c>
      <c r="I3" s="3">
        <f>3.8*((E3/0.098)^0.17)</f>
        <v>6.5736136194440853</v>
      </c>
      <c r="J3">
        <v>0</v>
      </c>
      <c r="K3" s="1"/>
    </row>
    <row r="4" spans="1:11">
      <c r="A4">
        <v>82383.5</v>
      </c>
      <c r="B4">
        <v>2.5</v>
      </c>
      <c r="C4">
        <f t="shared" ref="C4:C26" si="0">A4*2</f>
        <v>164767</v>
      </c>
      <c r="D4">
        <f t="shared" ref="D4:D25" si="1">((3.8*(10^(-3)/98066.5^0.17)*1683*C4*(0.95*338.917*2634)^0.5)/(957*0.647*0.96))^((1/(1-0.17)))</f>
        <v>2904170.4542179569</v>
      </c>
      <c r="E4" s="5">
        <f t="shared" ref="E4:E25" si="2">D4*10^(-6)</f>
        <v>2.9041704542179567</v>
      </c>
      <c r="F4">
        <f t="shared" ref="F4:F26" si="3">1*0.95*E4*957*((0.293-(0.098/E4))/0.178)</f>
        <v>3845.6122727893867</v>
      </c>
      <c r="G4" s="5">
        <f t="shared" ref="G4:G25" si="4">F4*10^-3</f>
        <v>3.8456122727893867</v>
      </c>
      <c r="H4" s="5">
        <f t="shared" ref="H4:H26" si="5">G4*101.972</f>
        <v>392.14477468087932</v>
      </c>
      <c r="I4" s="3">
        <f t="shared" ref="I4:I25" si="6">3.8*((E4/0.098)^0.17)</f>
        <v>6.760657288512566</v>
      </c>
      <c r="J4">
        <f>J3+2.5/I3</f>
        <v>0.38030832731106257</v>
      </c>
      <c r="K4" s="1">
        <f>(G4+G3)/2*J4</f>
        <v>0.73125918547571267</v>
      </c>
    </row>
    <row r="5" spans="1:11">
      <c r="A5">
        <v>92741.6</v>
      </c>
      <c r="B5">
        <v>5</v>
      </c>
      <c r="C5">
        <f t="shared" si="0"/>
        <v>185483.2</v>
      </c>
      <c r="D5">
        <f t="shared" si="1"/>
        <v>3349586.470781106</v>
      </c>
      <c r="E5" s="5">
        <f t="shared" si="2"/>
        <v>3.3495864707811061</v>
      </c>
      <c r="F5">
        <f t="shared" si="3"/>
        <v>4512.1872258079675</v>
      </c>
      <c r="G5" s="5">
        <f t="shared" si="4"/>
        <v>4.5121872258079678</v>
      </c>
      <c r="H5" s="5">
        <f t="shared" si="5"/>
        <v>460.11675579009005</v>
      </c>
      <c r="I5" s="3">
        <f t="shared" si="6"/>
        <v>6.9266567491725901</v>
      </c>
      <c r="J5">
        <f t="shared" ref="J5:J26" si="7">J4+2.5/I4</f>
        <v>0.7500948574237335</v>
      </c>
      <c r="K5" s="1">
        <f t="shared" ref="K5:K26" si="8">(G5+G4)/2*J5</f>
        <v>3.1345712116382671</v>
      </c>
    </row>
    <row r="6" spans="1:11">
      <c r="A6">
        <v>103336.6</v>
      </c>
      <c r="B6">
        <v>7.5</v>
      </c>
      <c r="C6">
        <f t="shared" si="0"/>
        <v>206673.2</v>
      </c>
      <c r="D6">
        <f t="shared" si="1"/>
        <v>3815865.8842884228</v>
      </c>
      <c r="E6" s="5">
        <f t="shared" si="2"/>
        <v>3.8158658842884225</v>
      </c>
      <c r="F6">
        <f t="shared" si="3"/>
        <v>5209.9847153333703</v>
      </c>
      <c r="G6" s="5">
        <f t="shared" si="4"/>
        <v>5.2099847153333707</v>
      </c>
      <c r="H6" s="5">
        <f t="shared" si="5"/>
        <v>531.27256139197448</v>
      </c>
      <c r="I6" s="3">
        <f t="shared" si="6"/>
        <v>7.0818380531096379</v>
      </c>
      <c r="J6">
        <f t="shared" si="7"/>
        <v>1.1110193395411176</v>
      </c>
      <c r="K6" s="1">
        <f t="shared" si="8"/>
        <v>5.4007605244760182</v>
      </c>
    </row>
    <row r="7" spans="1:11">
      <c r="A7">
        <v>113743.6</v>
      </c>
      <c r="B7">
        <v>10</v>
      </c>
      <c r="C7">
        <f t="shared" si="0"/>
        <v>227487.2</v>
      </c>
      <c r="D7">
        <f t="shared" si="1"/>
        <v>4283524.9087832691</v>
      </c>
      <c r="E7" s="5">
        <f t="shared" si="2"/>
        <v>4.283524908783269</v>
      </c>
      <c r="F7">
        <f t="shared" si="3"/>
        <v>5909.8468233165768</v>
      </c>
      <c r="G7" s="5">
        <f t="shared" si="4"/>
        <v>5.9098468233165766</v>
      </c>
      <c r="H7" s="5">
        <f t="shared" si="5"/>
        <v>602.63890026723789</v>
      </c>
      <c r="I7" s="3">
        <f t="shared" si="6"/>
        <v>7.2223974520261631</v>
      </c>
      <c r="J7">
        <f t="shared" si="7"/>
        <v>1.464035037055162</v>
      </c>
      <c r="K7" s="1">
        <f t="shared" si="8"/>
        <v>8.1399114893672682</v>
      </c>
    </row>
    <row r="8" spans="1:11">
      <c r="A8">
        <v>124136</v>
      </c>
      <c r="B8">
        <v>12.5</v>
      </c>
      <c r="C8">
        <f t="shared" si="0"/>
        <v>248272</v>
      </c>
      <c r="D8">
        <f t="shared" si="1"/>
        <v>4759367.2890503984</v>
      </c>
      <c r="E8" s="5">
        <f t="shared" si="2"/>
        <v>4.759367289050398</v>
      </c>
      <c r="F8">
        <f t="shared" si="3"/>
        <v>6621.955504809941</v>
      </c>
      <c r="G8" s="5">
        <f t="shared" si="4"/>
        <v>6.6219555048099412</v>
      </c>
      <c r="H8" s="5">
        <f t="shared" si="5"/>
        <v>675.25404673647927</v>
      </c>
      <c r="I8" s="3">
        <f t="shared" si="6"/>
        <v>7.3528978296793328</v>
      </c>
      <c r="J8">
        <f t="shared" si="7"/>
        <v>1.8101804848245386</v>
      </c>
      <c r="K8" s="1">
        <f t="shared" si="8"/>
        <v>11.34241200702667</v>
      </c>
    </row>
    <row r="9" spans="1:11">
      <c r="A9">
        <v>134529.79999999999</v>
      </c>
      <c r="B9">
        <v>15</v>
      </c>
      <c r="C9">
        <f t="shared" si="0"/>
        <v>269059.59999999998</v>
      </c>
      <c r="D9">
        <f t="shared" si="1"/>
        <v>5243513.7775066784</v>
      </c>
      <c r="E9" s="5">
        <f t="shared" si="2"/>
        <v>5.2435137775066778</v>
      </c>
      <c r="F9">
        <f t="shared" si="3"/>
        <v>7346.4914684849282</v>
      </c>
      <c r="G9" s="5">
        <f t="shared" si="4"/>
        <v>7.3464914684849285</v>
      </c>
      <c r="H9" s="5">
        <f t="shared" si="5"/>
        <v>749.13642802434504</v>
      </c>
      <c r="I9" s="3">
        <f t="shared" si="6"/>
        <v>7.4749961624816459</v>
      </c>
      <c r="J9">
        <f t="shared" si="7"/>
        <v>2.1501824891919825</v>
      </c>
      <c r="K9" s="1">
        <f t="shared" si="8"/>
        <v>15.017355041592689</v>
      </c>
    </row>
    <row r="10" spans="1:11">
      <c r="A10">
        <v>144912.6</v>
      </c>
      <c r="B10">
        <v>17.5</v>
      </c>
      <c r="C10">
        <f t="shared" si="0"/>
        <v>289825.2</v>
      </c>
      <c r="D10">
        <f t="shared" si="1"/>
        <v>5734865.0008245148</v>
      </c>
      <c r="E10" s="5">
        <f t="shared" si="2"/>
        <v>5.7348650008245148</v>
      </c>
      <c r="F10">
        <f t="shared" si="3"/>
        <v>8081.8094777605893</v>
      </c>
      <c r="G10" s="5">
        <f t="shared" si="4"/>
        <v>8.08180947776059</v>
      </c>
      <c r="H10" s="5">
        <f t="shared" si="5"/>
        <v>824.11827606620284</v>
      </c>
      <c r="I10" s="3">
        <f t="shared" si="6"/>
        <v>7.5896912239068213</v>
      </c>
      <c r="J10">
        <f t="shared" si="7"/>
        <v>2.484630821426312</v>
      </c>
      <c r="K10" s="1">
        <f t="shared" si="8"/>
        <v>19.166816026641172</v>
      </c>
    </row>
    <row r="11" spans="1:11">
      <c r="A11">
        <v>155279.79999999999</v>
      </c>
      <c r="B11">
        <v>20</v>
      </c>
      <c r="C11">
        <f t="shared" si="0"/>
        <v>310559.59999999998</v>
      </c>
      <c r="D11">
        <f t="shared" si="1"/>
        <v>6232731.196383263</v>
      </c>
      <c r="E11" s="5">
        <f t="shared" si="2"/>
        <v>6.2327311963832628</v>
      </c>
      <c r="F11">
        <f t="shared" si="3"/>
        <v>8826.8772875685954</v>
      </c>
      <c r="G11" s="5">
        <f t="shared" si="4"/>
        <v>8.8268772875685961</v>
      </c>
      <c r="H11" s="5">
        <f t="shared" si="5"/>
        <v>900.09433076794483</v>
      </c>
      <c r="I11" s="3">
        <f t="shared" si="6"/>
        <v>7.6978685592842009</v>
      </c>
      <c r="J11">
        <f t="shared" si="7"/>
        <v>2.8140249859906401</v>
      </c>
      <c r="K11" s="1">
        <f t="shared" si="8"/>
        <v>23.790733518962792</v>
      </c>
    </row>
    <row r="12" spans="1:11">
      <c r="A12">
        <v>165651.29999999999</v>
      </c>
      <c r="B12">
        <v>22.5</v>
      </c>
      <c r="C12">
        <f t="shared" si="0"/>
        <v>331302.59999999998</v>
      </c>
      <c r="D12">
        <f t="shared" si="1"/>
        <v>6737667.6472472893</v>
      </c>
      <c r="E12" s="5">
        <f t="shared" si="2"/>
        <v>6.7376676472472887</v>
      </c>
      <c r="F12">
        <f t="shared" si="3"/>
        <v>9582.5258913370635</v>
      </c>
      <c r="G12" s="5">
        <f t="shared" si="4"/>
        <v>9.5825258913370632</v>
      </c>
      <c r="H12" s="5">
        <f t="shared" si="5"/>
        <v>977.14933019142291</v>
      </c>
      <c r="I12" s="3">
        <f t="shared" si="6"/>
        <v>7.8004883596961481</v>
      </c>
      <c r="J12">
        <f t="shared" si="7"/>
        <v>3.1387902090840916</v>
      </c>
      <c r="K12" s="1">
        <f t="shared" si="8"/>
        <v>28.891627226515318</v>
      </c>
    </row>
    <row r="13" spans="1:11">
      <c r="A13">
        <v>176031.2</v>
      </c>
      <c r="B13">
        <v>25</v>
      </c>
      <c r="C13">
        <f t="shared" si="0"/>
        <v>352062.4</v>
      </c>
      <c r="D13">
        <f t="shared" si="1"/>
        <v>7249541.6552874697</v>
      </c>
      <c r="E13" s="5">
        <f t="shared" si="2"/>
        <v>7.2495416552874694</v>
      </c>
      <c r="F13">
        <f t="shared" si="3"/>
        <v>10348.556703371059</v>
      </c>
      <c r="G13" s="5">
        <f t="shared" si="4"/>
        <v>10.348556703371059</v>
      </c>
      <c r="H13" s="5">
        <f t="shared" si="5"/>
        <v>1055.2630241561535</v>
      </c>
      <c r="I13" s="3">
        <f t="shared" si="6"/>
        <v>7.898196914562762</v>
      </c>
      <c r="J13">
        <f t="shared" si="7"/>
        <v>3.4592829634758671</v>
      </c>
      <c r="K13" s="1">
        <f t="shared" si="8"/>
        <v>34.473627231752097</v>
      </c>
    </row>
    <row r="14" spans="1:11">
      <c r="A14">
        <v>186309.2</v>
      </c>
      <c r="B14">
        <v>27.5</v>
      </c>
      <c r="C14">
        <f t="shared" si="0"/>
        <v>372618.4</v>
      </c>
      <c r="D14">
        <f t="shared" si="1"/>
        <v>7762523.0140492385</v>
      </c>
      <c r="E14" s="5">
        <f t="shared" si="2"/>
        <v>7.7625230140492381</v>
      </c>
      <c r="F14">
        <f t="shared" si="3"/>
        <v>11116.244690333142</v>
      </c>
      <c r="G14" s="5">
        <f t="shared" si="4"/>
        <v>11.116244690333142</v>
      </c>
      <c r="H14" s="5">
        <f t="shared" si="5"/>
        <v>1133.5457035626512</v>
      </c>
      <c r="I14" s="3">
        <f t="shared" si="6"/>
        <v>7.9905312971482019</v>
      </c>
      <c r="J14">
        <f t="shared" si="7"/>
        <v>3.7758109035922347</v>
      </c>
      <c r="K14" s="1">
        <f t="shared" si="8"/>
        <v>40.523515572895057</v>
      </c>
    </row>
    <row r="15" spans="1:11">
      <c r="A15">
        <v>196250.3</v>
      </c>
      <c r="B15">
        <v>30</v>
      </c>
      <c r="C15">
        <f t="shared" si="0"/>
        <v>392500.6</v>
      </c>
      <c r="D15">
        <f t="shared" si="1"/>
        <v>8264240.2647993276</v>
      </c>
      <c r="E15" s="5">
        <f t="shared" si="2"/>
        <v>8.2642402647993265</v>
      </c>
      <c r="F15">
        <f t="shared" si="3"/>
        <v>11867.075689693798</v>
      </c>
      <c r="G15" s="5">
        <f t="shared" si="4"/>
        <v>11.867075689693799</v>
      </c>
      <c r="H15" s="5">
        <f t="shared" si="5"/>
        <v>1210.1094422294559</v>
      </c>
      <c r="I15" s="3">
        <f t="shared" si="6"/>
        <v>8.0760623404636185</v>
      </c>
      <c r="J15">
        <f t="shared" si="7"/>
        <v>4.0886812130912089</v>
      </c>
      <c r="K15" s="1">
        <f t="shared" si="8"/>
        <v>46.985735126136227</v>
      </c>
    </row>
    <row r="16" spans="1:11">
      <c r="A16">
        <v>205878.1</v>
      </c>
      <c r="B16">
        <v>32.5</v>
      </c>
      <c r="C16">
        <f t="shared" si="0"/>
        <v>411756.2</v>
      </c>
      <c r="D16">
        <f t="shared" si="1"/>
        <v>8755137.3109278958</v>
      </c>
      <c r="E16" s="5">
        <f t="shared" si="2"/>
        <v>8.7551373109278963</v>
      </c>
      <c r="F16">
        <f t="shared" si="3"/>
        <v>12601.714012727069</v>
      </c>
      <c r="G16" s="5">
        <f t="shared" si="4"/>
        <v>12.601714012727069</v>
      </c>
      <c r="H16" s="5">
        <f t="shared" si="5"/>
        <v>1285.0219813058045</v>
      </c>
      <c r="I16" s="3">
        <f t="shared" si="6"/>
        <v>8.1556741780537223</v>
      </c>
      <c r="J16">
        <f t="shared" si="7"/>
        <v>4.3982380112692283</v>
      </c>
      <c r="K16" s="1">
        <f t="shared" si="8"/>
        <v>53.809780479470263</v>
      </c>
    </row>
    <row r="17" spans="1:11">
      <c r="A17">
        <v>214781.6</v>
      </c>
      <c r="B17">
        <v>35</v>
      </c>
      <c r="C17">
        <f t="shared" si="0"/>
        <v>429563.2</v>
      </c>
      <c r="D17">
        <f t="shared" si="1"/>
        <v>9213314.1437834054</v>
      </c>
      <c r="E17" s="5">
        <f t="shared" si="2"/>
        <v>9.2133141437834052</v>
      </c>
      <c r="F17">
        <f t="shared" si="3"/>
        <v>13287.385810502585</v>
      </c>
      <c r="G17" s="5">
        <f t="shared" si="4"/>
        <v>13.287385810502585</v>
      </c>
      <c r="H17" s="5">
        <f t="shared" si="5"/>
        <v>1354.9413058685695</v>
      </c>
      <c r="I17" s="3">
        <f t="shared" si="6"/>
        <v>8.2267038437058932</v>
      </c>
      <c r="J17">
        <f t="shared" si="7"/>
        <v>4.7047730622558532</v>
      </c>
      <c r="K17" s="1">
        <f t="shared" si="8"/>
        <v>60.901169727191821</v>
      </c>
    </row>
    <row r="18" spans="1:11">
      <c r="A18">
        <v>221893.7</v>
      </c>
      <c r="B18">
        <v>37.5</v>
      </c>
      <c r="C18">
        <f t="shared" si="0"/>
        <v>443787.4</v>
      </c>
      <c r="D18">
        <f t="shared" si="1"/>
        <v>9582118.5673016328</v>
      </c>
      <c r="E18" s="5">
        <f t="shared" si="2"/>
        <v>9.5821185673016327</v>
      </c>
      <c r="F18">
        <f t="shared" si="3"/>
        <v>13839.309814440719</v>
      </c>
      <c r="G18" s="5">
        <f t="shared" si="4"/>
        <v>13.839309814440719</v>
      </c>
      <c r="H18" s="5">
        <f t="shared" si="5"/>
        <v>1411.222100398149</v>
      </c>
      <c r="I18" s="3">
        <f t="shared" si="6"/>
        <v>8.281778780471269</v>
      </c>
      <c r="J18">
        <f t="shared" si="7"/>
        <v>5.0086614782601204</v>
      </c>
      <c r="K18" s="1">
        <f t="shared" si="8"/>
        <v>67.934217704570429</v>
      </c>
    </row>
    <row r="19" spans="1:11">
      <c r="A19">
        <v>228982.7</v>
      </c>
      <c r="B19">
        <v>40</v>
      </c>
      <c r="C19">
        <f t="shared" si="0"/>
        <v>457965.4</v>
      </c>
      <c r="D19">
        <f t="shared" si="1"/>
        <v>9952142.8404095434</v>
      </c>
      <c r="E19" s="5">
        <f t="shared" si="2"/>
        <v>9.9521428404095431</v>
      </c>
      <c r="F19">
        <f t="shared" si="3"/>
        <v>14393.059350359508</v>
      </c>
      <c r="G19" s="5">
        <f t="shared" si="4"/>
        <v>14.393059350359508</v>
      </c>
      <c r="H19" s="5">
        <f t="shared" si="5"/>
        <v>1467.6890480748596</v>
      </c>
      <c r="I19" s="3">
        <f t="shared" si="6"/>
        <v>8.3352952116194263</v>
      </c>
      <c r="J19">
        <f t="shared" si="7"/>
        <v>5.3105289956460098</v>
      </c>
      <c r="K19" s="1">
        <f t="shared" si="8"/>
        <v>74.964407532726952</v>
      </c>
    </row>
    <row r="20" spans="1:11">
      <c r="A20">
        <v>236488.5</v>
      </c>
      <c r="B20">
        <v>42.5</v>
      </c>
      <c r="C20">
        <f t="shared" si="0"/>
        <v>472977</v>
      </c>
      <c r="D20">
        <f t="shared" si="1"/>
        <v>10346487.36321635</v>
      </c>
      <c r="E20" s="5">
        <f t="shared" si="2"/>
        <v>10.346487363216349</v>
      </c>
      <c r="F20">
        <f t="shared" si="3"/>
        <v>14983.204679643628</v>
      </c>
      <c r="G20" s="5">
        <f t="shared" si="4"/>
        <v>14.983204679643629</v>
      </c>
      <c r="H20" s="5">
        <f t="shared" si="5"/>
        <v>1527.86734759262</v>
      </c>
      <c r="I20" s="3">
        <f t="shared" si="6"/>
        <v>8.3905409658859806</v>
      </c>
      <c r="J20">
        <f t="shared" si="7"/>
        <v>5.6104583846513316</v>
      </c>
      <c r="K20" s="1">
        <f t="shared" si="8"/>
        <v>82.407153418431207</v>
      </c>
    </row>
    <row r="21" spans="1:11">
      <c r="A21">
        <v>244133.6</v>
      </c>
      <c r="B21">
        <v>45</v>
      </c>
      <c r="C21">
        <f t="shared" si="0"/>
        <v>488267.2</v>
      </c>
      <c r="D21">
        <f t="shared" si="1"/>
        <v>10750794.402722025</v>
      </c>
      <c r="E21" s="5">
        <f t="shared" si="2"/>
        <v>10.750794402722025</v>
      </c>
      <c r="F21">
        <f t="shared" si="3"/>
        <v>15588.259136245928</v>
      </c>
      <c r="G21" s="5">
        <f t="shared" si="4"/>
        <v>15.588259136245929</v>
      </c>
      <c r="H21" s="5">
        <f t="shared" si="5"/>
        <v>1589.5659606412698</v>
      </c>
      <c r="I21" s="3">
        <f t="shared" si="6"/>
        <v>8.4453967806428203</v>
      </c>
      <c r="J21">
        <f t="shared" si="7"/>
        <v>5.908412951605289</v>
      </c>
      <c r="K21" s="1">
        <f t="shared" si="8"/>
        <v>90.314416379667165</v>
      </c>
    </row>
    <row r="22" spans="1:11">
      <c r="A22">
        <v>237435.8</v>
      </c>
      <c r="B22">
        <v>47.5</v>
      </c>
      <c r="C22">
        <f t="shared" si="0"/>
        <v>474871.6</v>
      </c>
      <c r="D22">
        <f t="shared" si="1"/>
        <v>10396441.364603922</v>
      </c>
      <c r="E22" s="5">
        <f t="shared" si="2"/>
        <v>10.396441364603922</v>
      </c>
      <c r="F22">
        <f t="shared" si="3"/>
        <v>15057.961951249938</v>
      </c>
      <c r="G22" s="5">
        <f t="shared" si="4"/>
        <v>15.057961951249938</v>
      </c>
      <c r="H22" s="5">
        <f t="shared" si="5"/>
        <v>1535.4904960928586</v>
      </c>
      <c r="I22" s="3">
        <f t="shared" si="6"/>
        <v>8.3974139879542342</v>
      </c>
      <c r="J22">
        <f t="shared" si="7"/>
        <v>6.2044321991236648</v>
      </c>
      <c r="K22" s="1">
        <f t="shared" si="8"/>
        <v>95.071200448361012</v>
      </c>
    </row>
    <row r="23" spans="1:11">
      <c r="A23">
        <v>243960.6</v>
      </c>
      <c r="B23">
        <v>50</v>
      </c>
      <c r="C23">
        <f t="shared" si="0"/>
        <v>487921.2</v>
      </c>
      <c r="D23">
        <f t="shared" si="1"/>
        <v>10741616.37240327</v>
      </c>
      <c r="E23" s="5">
        <f t="shared" si="2"/>
        <v>10.74161637240327</v>
      </c>
      <c r="F23">
        <f t="shared" si="3"/>
        <v>15574.524010204139</v>
      </c>
      <c r="G23" s="5">
        <f t="shared" si="4"/>
        <v>15.57452401020414</v>
      </c>
      <c r="H23" s="5">
        <f t="shared" si="5"/>
        <v>1588.1653623685365</v>
      </c>
      <c r="I23" s="3">
        <f t="shared" si="6"/>
        <v>8.4441706638807545</v>
      </c>
      <c r="J23">
        <f t="shared" si="7"/>
        <v>6.5021428995352624</v>
      </c>
      <c r="K23" s="1">
        <f t="shared" si="8"/>
        <v>99.588400544691126</v>
      </c>
    </row>
    <row r="24" spans="1:11">
      <c r="A24">
        <v>250754.5</v>
      </c>
      <c r="B24">
        <v>52.5</v>
      </c>
      <c r="C24">
        <f t="shared" si="0"/>
        <v>501509</v>
      </c>
      <c r="D24">
        <f t="shared" si="1"/>
        <v>11103041.894529162</v>
      </c>
      <c r="E24" s="5">
        <f t="shared" si="2"/>
        <v>11.103041894529161</v>
      </c>
      <c r="F24">
        <f t="shared" si="3"/>
        <v>16115.405324463356</v>
      </c>
      <c r="G24" s="5">
        <f t="shared" si="4"/>
        <v>16.115405324463357</v>
      </c>
      <c r="H24" s="5">
        <f t="shared" si="5"/>
        <v>1643.3201117461774</v>
      </c>
      <c r="I24" s="3">
        <f t="shared" si="6"/>
        <v>8.4918106181975546</v>
      </c>
      <c r="J24">
        <f t="shared" si="7"/>
        <v>6.7982051298610351</v>
      </c>
      <c r="K24" s="1">
        <f t="shared" si="8"/>
        <v>107.71732008393514</v>
      </c>
    </row>
    <row r="25" spans="1:11">
      <c r="A25">
        <v>176646.6</v>
      </c>
      <c r="B25">
        <v>55</v>
      </c>
      <c r="C25">
        <f t="shared" si="0"/>
        <v>353293.2</v>
      </c>
      <c r="D25">
        <f t="shared" si="1"/>
        <v>7280087.7444127016</v>
      </c>
      <c r="E25" s="5">
        <f t="shared" si="2"/>
        <v>7.2800877444127012</v>
      </c>
      <c r="F25">
        <f t="shared" si="3"/>
        <v>10394.269603595576</v>
      </c>
      <c r="G25" s="5">
        <f t="shared" si="4"/>
        <v>10.394269603595577</v>
      </c>
      <c r="H25" s="5">
        <f t="shared" si="5"/>
        <v>1059.9244600178481</v>
      </c>
      <c r="I25" s="3">
        <f t="shared" si="6"/>
        <v>7.9038445130891324</v>
      </c>
      <c r="J25">
        <f t="shared" si="7"/>
        <v>7.0926064198100383</v>
      </c>
      <c r="K25" s="1">
        <f t="shared" si="8"/>
        <v>94.011345290914008</v>
      </c>
    </row>
    <row r="26" spans="1:11">
      <c r="A26">
        <v>0</v>
      </c>
      <c r="B26">
        <v>57.5</v>
      </c>
      <c r="C26">
        <f t="shared" si="0"/>
        <v>0</v>
      </c>
      <c r="D26">
        <f t="shared" ref="D26" si="9">(((7.924/(98066^0.4))*1683*C26*(0.95*338.917*2634)^0.5)/(957*0.647*0.96))^(1/0.6)</f>
        <v>0</v>
      </c>
      <c r="E26" s="5">
        <f t="shared" ref="E26" si="10">D26*10^(-12)</f>
        <v>0</v>
      </c>
      <c r="F26" t="e">
        <f t="shared" si="3"/>
        <v>#DIV/0!</v>
      </c>
      <c r="G26" s="5">
        <v>0</v>
      </c>
      <c r="H26" s="5">
        <f t="shared" si="5"/>
        <v>0</v>
      </c>
      <c r="I26" s="3">
        <f t="shared" ref="I26" si="11">7.924*((E26)^0.4)</f>
        <v>0</v>
      </c>
      <c r="J26">
        <f t="shared" si="7"/>
        <v>7.4089081886340438</v>
      </c>
      <c r="K26" s="1">
        <f t="shared" si="8"/>
        <v>38.505094590474599</v>
      </c>
    </row>
    <row r="27" spans="1:11" ht="15.75">
      <c r="K27" s="7">
        <f>SUM(K4:K26)</f>
        <v>1102.8228303629128</v>
      </c>
    </row>
    <row r="34" spans="1:11" ht="40.5" customHeight="1">
      <c r="A34" s="201" t="s">
        <v>14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</row>
    <row r="35" spans="1:11">
      <c r="A35" t="s">
        <v>0</v>
      </c>
      <c r="B35" t="s">
        <v>1</v>
      </c>
      <c r="C35" t="s">
        <v>2</v>
      </c>
      <c r="D35" t="s">
        <v>4</v>
      </c>
      <c r="E35" s="5" t="s">
        <v>8</v>
      </c>
      <c r="F35" t="s">
        <v>7</v>
      </c>
      <c r="G35" s="5" t="s">
        <v>9</v>
      </c>
      <c r="H35" s="5" t="s">
        <v>10</v>
      </c>
      <c r="I35" s="3" t="s">
        <v>13</v>
      </c>
      <c r="J35" t="s">
        <v>12</v>
      </c>
      <c r="K35" s="1" t="s">
        <v>11</v>
      </c>
    </row>
    <row r="36" spans="1:11">
      <c r="A36" t="s">
        <v>3</v>
      </c>
      <c r="B36">
        <v>0</v>
      </c>
      <c r="C36">
        <v>146339.20000000001</v>
      </c>
      <c r="D36">
        <f>((3.8*(10^(-3)/98066.5^0.17)*1683*C36*(0.95*338.917*2634)^0.5)/(957*0.647*0.96))^((1/(1-0.17)))</f>
        <v>2517458.9322721129</v>
      </c>
      <c r="E36" s="5">
        <f>D36*10^(-6)</f>
        <v>2.5174589322721128</v>
      </c>
      <c r="F36">
        <f>1*0.95*E36*957*((0.293-(0.098/E36))/0.178)</f>
        <v>3266.8898986777021</v>
      </c>
      <c r="G36" s="5">
        <v>0</v>
      </c>
      <c r="H36" s="5">
        <v>0</v>
      </c>
      <c r="I36" s="3">
        <f>3.8*((E36/0.098)^0.17)</f>
        <v>6.598401998806712</v>
      </c>
      <c r="J36">
        <v>0</v>
      </c>
      <c r="K36" s="1"/>
    </row>
    <row r="37" spans="1:11">
      <c r="A37">
        <v>82972.2</v>
      </c>
      <c r="B37">
        <v>2.5</v>
      </c>
      <c r="C37">
        <f>A37*2</f>
        <v>165944.4</v>
      </c>
      <c r="D37">
        <f t="shared" ref="D37:D58" si="12">((3.8*(10^(-3)/98066.5^0.17)*1683*C37*(0.95*338.917*2634)^0.5)/(957*0.647*0.96))^((1/(1-0.17)))</f>
        <v>2929192.0445920206</v>
      </c>
      <c r="E37" s="5">
        <f t="shared" ref="E37:E58" si="13">D37*10^(-6)</f>
        <v>2.9291920445920203</v>
      </c>
      <c r="F37">
        <f t="shared" ref="F37:F59" si="14">1*0.95*E37*957*((0.293-(0.098/E37))/0.178)</f>
        <v>3883.057638038566</v>
      </c>
      <c r="G37" s="5">
        <f t="shared" ref="G37:G58" si="15">F37*10^-3</f>
        <v>3.883057638038566</v>
      </c>
      <c r="H37" s="5">
        <f t="shared" ref="H37:H59" si="16">G37*101.972</f>
        <v>395.9631534660686</v>
      </c>
      <c r="I37" s="3">
        <f t="shared" ref="I37:I58" si="17">3.8*((E37/0.098)^0.17)</f>
        <v>6.7705242440943261</v>
      </c>
      <c r="J37">
        <f>J36+2.5/I36</f>
        <v>0.37887961364768508</v>
      </c>
      <c r="K37" s="1">
        <f>(G37+G36)/2*J37</f>
        <v>0.73560568883587218</v>
      </c>
    </row>
    <row r="38" spans="1:11">
      <c r="A38">
        <v>93462.6</v>
      </c>
      <c r="B38">
        <v>5</v>
      </c>
      <c r="C38">
        <f t="shared" ref="C38:C59" si="18">A38*2</f>
        <v>186925.2</v>
      </c>
      <c r="D38">
        <f t="shared" si="12"/>
        <v>3380985.6794989337</v>
      </c>
      <c r="E38" s="5">
        <f t="shared" si="13"/>
        <v>3.3809856794989335</v>
      </c>
      <c r="F38">
        <f t="shared" si="14"/>
        <v>4559.1768384343895</v>
      </c>
      <c r="G38" s="5">
        <f t="shared" si="15"/>
        <v>4.5591768384343894</v>
      </c>
      <c r="H38" s="5">
        <f t="shared" si="16"/>
        <v>464.90838056883155</v>
      </c>
      <c r="I38" s="3">
        <f t="shared" si="17"/>
        <v>6.9376522984984401</v>
      </c>
      <c r="J38">
        <f t="shared" ref="J38:J59" si="19">J37+2.5/I37</f>
        <v>0.74812723907058443</v>
      </c>
      <c r="K38" s="1">
        <f t="shared" ref="K38:K59" si="20">(G38+G37)/2*J38</f>
        <v>3.157932785235106</v>
      </c>
    </row>
    <row r="39" spans="1:11">
      <c r="A39">
        <v>103920.7</v>
      </c>
      <c r="B39">
        <v>7.5</v>
      </c>
      <c r="C39">
        <f t="shared" si="18"/>
        <v>207841.4</v>
      </c>
      <c r="D39">
        <f t="shared" si="12"/>
        <v>3841867.4197829659</v>
      </c>
      <c r="E39" s="5">
        <f t="shared" si="13"/>
        <v>3.8418674197829659</v>
      </c>
      <c r="F39">
        <f t="shared" si="14"/>
        <v>5248.8965902013206</v>
      </c>
      <c r="G39" s="5">
        <f t="shared" si="15"/>
        <v>5.2488965902013209</v>
      </c>
      <c r="H39" s="5">
        <f t="shared" si="16"/>
        <v>535.24048309600903</v>
      </c>
      <c r="I39" s="3">
        <f t="shared" si="17"/>
        <v>7.0900184815103984</v>
      </c>
      <c r="J39">
        <f t="shared" si="19"/>
        <v>1.1084796886364254</v>
      </c>
      <c r="K39" s="1">
        <f t="shared" si="20"/>
        <v>5.4360250901486546</v>
      </c>
    </row>
    <row r="40" spans="1:11">
      <c r="A40">
        <v>114330.5</v>
      </c>
      <c r="B40">
        <v>10</v>
      </c>
      <c r="C40">
        <f t="shared" si="18"/>
        <v>228661</v>
      </c>
      <c r="D40">
        <f t="shared" si="12"/>
        <v>4310168.2974273125</v>
      </c>
      <c r="E40" s="5">
        <f t="shared" si="13"/>
        <v>4.3101682974273121</v>
      </c>
      <c r="F40">
        <f t="shared" si="14"/>
        <v>5949.7192456661232</v>
      </c>
      <c r="G40" s="5">
        <f t="shared" si="15"/>
        <v>5.949719245666123</v>
      </c>
      <c r="H40" s="5">
        <f t="shared" si="16"/>
        <v>606.70477091906582</v>
      </c>
      <c r="I40" s="3">
        <f t="shared" si="17"/>
        <v>7.2300147374032333</v>
      </c>
      <c r="J40">
        <f t="shared" si="19"/>
        <v>1.4610880783775224</v>
      </c>
      <c r="K40" s="1">
        <f t="shared" si="20"/>
        <v>8.1810820460578277</v>
      </c>
    </row>
    <row r="41" spans="1:11">
      <c r="A41">
        <v>124744.4</v>
      </c>
      <c r="B41">
        <v>12.5</v>
      </c>
      <c r="C41">
        <f t="shared" si="18"/>
        <v>249488.8</v>
      </c>
      <c r="D41">
        <f t="shared" si="12"/>
        <v>4787485.0173567794</v>
      </c>
      <c r="E41" s="5">
        <f t="shared" si="13"/>
        <v>4.7874850173567793</v>
      </c>
      <c r="F41">
        <f t="shared" si="14"/>
        <v>6664.0343091812656</v>
      </c>
      <c r="G41" s="5">
        <f t="shared" si="15"/>
        <v>6.6640343091812655</v>
      </c>
      <c r="H41" s="5">
        <f t="shared" si="16"/>
        <v>679.54490657583199</v>
      </c>
      <c r="I41" s="3">
        <f t="shared" si="17"/>
        <v>7.3602645841633283</v>
      </c>
      <c r="J41">
        <f t="shared" si="19"/>
        <v>1.8068688396623758</v>
      </c>
      <c r="K41" s="1">
        <f t="shared" si="20"/>
        <v>11.395699124717135</v>
      </c>
    </row>
    <row r="42" spans="1:11">
      <c r="A42">
        <v>135153.4</v>
      </c>
      <c r="B42">
        <v>15</v>
      </c>
      <c r="C42">
        <f t="shared" si="18"/>
        <v>270306.8</v>
      </c>
      <c r="D42">
        <f t="shared" si="12"/>
        <v>5272811.76528107</v>
      </c>
      <c r="E42" s="5">
        <f t="shared" si="13"/>
        <v>5.2728117652810695</v>
      </c>
      <c r="F42">
        <f t="shared" si="14"/>
        <v>7390.336557341283</v>
      </c>
      <c r="G42" s="5">
        <f t="shared" si="15"/>
        <v>7.3903365573412829</v>
      </c>
      <c r="H42" s="5">
        <f t="shared" si="16"/>
        <v>753.60739942520524</v>
      </c>
      <c r="I42" s="3">
        <f t="shared" si="17"/>
        <v>7.482080030976392</v>
      </c>
      <c r="J42">
        <f t="shared" si="19"/>
        <v>2.1465305422293066</v>
      </c>
      <c r="K42" s="1">
        <f t="shared" si="20"/>
        <v>15.084068158404207</v>
      </c>
    </row>
    <row r="43" spans="1:11">
      <c r="A43">
        <v>145552</v>
      </c>
      <c r="B43">
        <v>17.5</v>
      </c>
      <c r="C43">
        <f t="shared" si="18"/>
        <v>291104</v>
      </c>
      <c r="D43">
        <f t="shared" si="12"/>
        <v>5765365.5429432476</v>
      </c>
      <c r="E43" s="5">
        <f t="shared" si="13"/>
        <v>5.7653655429432478</v>
      </c>
      <c r="F43">
        <f t="shared" si="14"/>
        <v>8127.4542158791455</v>
      </c>
      <c r="G43" s="5">
        <f t="shared" si="15"/>
        <v>8.1274542158791458</v>
      </c>
      <c r="H43" s="5">
        <f t="shared" si="16"/>
        <v>828.77276130162818</v>
      </c>
      <c r="I43" s="3">
        <f t="shared" si="17"/>
        <v>7.5965382326069308</v>
      </c>
      <c r="J43">
        <f t="shared" si="19"/>
        <v>2.4806622261527354</v>
      </c>
      <c r="K43" s="1">
        <f t="shared" si="20"/>
        <v>19.247198702234684</v>
      </c>
    </row>
    <row r="44" spans="1:11">
      <c r="A44">
        <v>155935.6</v>
      </c>
      <c r="B44">
        <v>20</v>
      </c>
      <c r="C44">
        <f t="shared" si="18"/>
        <v>311871.2</v>
      </c>
      <c r="D44">
        <f t="shared" si="12"/>
        <v>6264459.3164913869</v>
      </c>
      <c r="E44" s="5">
        <f t="shared" si="13"/>
        <v>6.2644593164913864</v>
      </c>
      <c r="F44">
        <f t="shared" si="14"/>
        <v>8874.3591233894731</v>
      </c>
      <c r="G44" s="5">
        <f t="shared" si="15"/>
        <v>8.874359123389473</v>
      </c>
      <c r="H44" s="5">
        <f t="shared" si="16"/>
        <v>904.93614853027134</v>
      </c>
      <c r="I44" s="3">
        <f t="shared" si="17"/>
        <v>7.7045162337950428</v>
      </c>
      <c r="J44">
        <f t="shared" si="19"/>
        <v>2.8097594969686903</v>
      </c>
      <c r="K44" s="1">
        <f t="shared" si="20"/>
        <v>23.885503247849481</v>
      </c>
    </row>
    <row r="45" spans="1:11">
      <c r="A45">
        <v>166323.4</v>
      </c>
      <c r="B45">
        <v>22.5</v>
      </c>
      <c r="C45">
        <f t="shared" si="18"/>
        <v>332646.8</v>
      </c>
      <c r="D45">
        <f t="shared" si="12"/>
        <v>6770617.2938466044</v>
      </c>
      <c r="E45" s="5">
        <f t="shared" si="13"/>
        <v>6.7706172938466045</v>
      </c>
      <c r="F45">
        <f t="shared" si="14"/>
        <v>9631.8357686589188</v>
      </c>
      <c r="G45" s="5">
        <f t="shared" si="15"/>
        <v>9.6318357686589184</v>
      </c>
      <c r="H45" s="5">
        <f t="shared" si="16"/>
        <v>982.17755700168721</v>
      </c>
      <c r="I45" s="3">
        <f t="shared" si="17"/>
        <v>7.8069602659793329</v>
      </c>
      <c r="J45">
        <f t="shared" si="19"/>
        <v>3.134244503442428</v>
      </c>
      <c r="K45" s="1">
        <f t="shared" si="20"/>
        <v>29.001469810018502</v>
      </c>
    </row>
    <row r="46" spans="1:11">
      <c r="A46">
        <v>176719.7</v>
      </c>
      <c r="B46">
        <v>25</v>
      </c>
      <c r="C46">
        <f t="shared" si="18"/>
        <v>353439.4</v>
      </c>
      <c r="D46">
        <f t="shared" si="12"/>
        <v>7283717.5972509934</v>
      </c>
      <c r="E46" s="5">
        <f t="shared" si="13"/>
        <v>7.2837175972509929</v>
      </c>
      <c r="F46">
        <f t="shared" si="14"/>
        <v>10399.701758918183</v>
      </c>
      <c r="G46" s="5">
        <f t="shared" si="15"/>
        <v>10.399701758918184</v>
      </c>
      <c r="H46" s="5">
        <f t="shared" si="16"/>
        <v>1060.478387760405</v>
      </c>
      <c r="I46" s="3">
        <f t="shared" si="17"/>
        <v>7.9045143203763057</v>
      </c>
      <c r="J46">
        <f t="shared" si="19"/>
        <v>3.4544715719590102</v>
      </c>
      <c r="K46" s="1">
        <f t="shared" si="20"/>
        <v>34.599188465822586</v>
      </c>
    </row>
    <row r="47" spans="1:11">
      <c r="A47">
        <v>187014</v>
      </c>
      <c r="B47">
        <v>27.5</v>
      </c>
      <c r="C47">
        <f t="shared" si="18"/>
        <v>374028</v>
      </c>
      <c r="D47">
        <f t="shared" si="12"/>
        <v>7797916.5907479562</v>
      </c>
      <c r="E47" s="5">
        <f t="shared" si="13"/>
        <v>7.7979165907479562</v>
      </c>
      <c r="F47">
        <f t="shared" si="14"/>
        <v>11169.211963282032</v>
      </c>
      <c r="G47" s="5">
        <f t="shared" si="15"/>
        <v>11.169211963282033</v>
      </c>
      <c r="H47" s="5">
        <f t="shared" si="16"/>
        <v>1138.9468823197953</v>
      </c>
      <c r="I47" s="3">
        <f t="shared" si="17"/>
        <v>7.9967132524008511</v>
      </c>
      <c r="J47">
        <f t="shared" si="19"/>
        <v>3.7707465382217045</v>
      </c>
      <c r="K47" s="1">
        <f t="shared" si="20"/>
        <v>40.665453375594538</v>
      </c>
    </row>
    <row r="48" spans="1:11">
      <c r="A48">
        <v>196971.2</v>
      </c>
      <c r="B48">
        <v>30</v>
      </c>
      <c r="C48">
        <f t="shared" si="18"/>
        <v>393942.4</v>
      </c>
      <c r="D48">
        <f t="shared" si="12"/>
        <v>8300829.4489443898</v>
      </c>
      <c r="E48" s="5">
        <f t="shared" si="13"/>
        <v>8.3008294489443895</v>
      </c>
      <c r="F48">
        <f t="shared" si="14"/>
        <v>11921.832215717881</v>
      </c>
      <c r="G48" s="5">
        <f t="shared" si="15"/>
        <v>11.921832215717881</v>
      </c>
      <c r="H48" s="5">
        <f t="shared" si="16"/>
        <v>1215.6930747011836</v>
      </c>
      <c r="I48" s="3">
        <f t="shared" si="17"/>
        <v>8.0821297293446843</v>
      </c>
      <c r="J48">
        <f t="shared" si="19"/>
        <v>4.0833749795690828</v>
      </c>
      <c r="K48" s="1">
        <f t="shared" si="20"/>
        <v>47.144696026326287</v>
      </c>
    </row>
    <row r="49" spans="1:11">
      <c r="A49">
        <v>206614.8</v>
      </c>
      <c r="B49">
        <v>32.5</v>
      </c>
      <c r="C49">
        <f t="shared" si="18"/>
        <v>413229.6</v>
      </c>
      <c r="D49">
        <f t="shared" si="12"/>
        <v>8792896.6476959605</v>
      </c>
      <c r="E49" s="5">
        <f t="shared" si="13"/>
        <v>8.7928966476959598</v>
      </c>
      <c r="F49">
        <f t="shared" si="14"/>
        <v>12658.221698118343</v>
      </c>
      <c r="G49" s="5">
        <f t="shared" si="15"/>
        <v>12.658221698118343</v>
      </c>
      <c r="H49" s="5">
        <f t="shared" si="16"/>
        <v>1290.7841830005236</v>
      </c>
      <c r="I49" s="3">
        <f t="shared" si="17"/>
        <v>8.1616430769279074</v>
      </c>
      <c r="J49">
        <f t="shared" si="19"/>
        <v>4.3926993883227521</v>
      </c>
      <c r="K49" s="1">
        <f t="shared" si="20"/>
        <v>53.986393896124326</v>
      </c>
    </row>
    <row r="50" spans="1:11">
      <c r="A50">
        <v>215587.5</v>
      </c>
      <c r="B50">
        <v>35</v>
      </c>
      <c r="C50">
        <f t="shared" si="18"/>
        <v>431175</v>
      </c>
      <c r="D50">
        <f t="shared" si="12"/>
        <v>9254980.7908254582</v>
      </c>
      <c r="E50" s="5">
        <f t="shared" si="13"/>
        <v>9.2549807908254582</v>
      </c>
      <c r="F50">
        <f t="shared" si="14"/>
        <v>13349.740872426048</v>
      </c>
      <c r="G50" s="5">
        <f t="shared" si="15"/>
        <v>13.349740872426048</v>
      </c>
      <c r="H50" s="5">
        <f t="shared" si="16"/>
        <v>1361.2997762430289</v>
      </c>
      <c r="I50" s="3">
        <f t="shared" si="17"/>
        <v>8.2330168155098917</v>
      </c>
      <c r="J50">
        <f t="shared" si="19"/>
        <v>4.6990102593613585</v>
      </c>
      <c r="K50" s="1">
        <f t="shared" si="20"/>
        <v>61.105841472037156</v>
      </c>
    </row>
    <row r="51" spans="1:11">
      <c r="A51">
        <v>222640</v>
      </c>
      <c r="B51">
        <v>37.5</v>
      </c>
      <c r="C51">
        <f t="shared" si="18"/>
        <v>445280</v>
      </c>
      <c r="D51">
        <f t="shared" si="12"/>
        <v>9620960.5460051857</v>
      </c>
      <c r="E51" s="5">
        <f t="shared" si="13"/>
        <v>9.6209605460051861</v>
      </c>
      <c r="F51">
        <f t="shared" si="14"/>
        <v>13897.437697513371</v>
      </c>
      <c r="G51" s="5">
        <f t="shared" si="15"/>
        <v>13.897437697513372</v>
      </c>
      <c r="H51" s="5">
        <f t="shared" si="16"/>
        <v>1417.1495168908334</v>
      </c>
      <c r="I51" s="3">
        <f t="shared" si="17"/>
        <v>8.2874762623702534</v>
      </c>
      <c r="J51">
        <f t="shared" si="19"/>
        <v>5.0026656576219741</v>
      </c>
      <c r="K51" s="1">
        <f t="shared" si="20"/>
        <v>68.154262249464679</v>
      </c>
    </row>
    <row r="52" spans="1:11">
      <c r="A52">
        <v>229680.5</v>
      </c>
      <c r="B52">
        <v>40</v>
      </c>
      <c r="C52">
        <f t="shared" si="18"/>
        <v>459361</v>
      </c>
      <c r="D52">
        <f t="shared" si="12"/>
        <v>9988694.0881262291</v>
      </c>
      <c r="E52" s="5">
        <f t="shared" si="13"/>
        <v>9.9886940881262287</v>
      </c>
      <c r="F52">
        <f t="shared" si="14"/>
        <v>14447.759103676675</v>
      </c>
      <c r="G52" s="5">
        <f t="shared" si="15"/>
        <v>14.447759103676676</v>
      </c>
      <c r="H52" s="5">
        <f t="shared" si="16"/>
        <v>1473.2668913201178</v>
      </c>
      <c r="I52" s="3">
        <f t="shared" si="17"/>
        <v>8.340491515617412</v>
      </c>
      <c r="J52">
        <f t="shared" si="19"/>
        <v>5.3043256468458813</v>
      </c>
      <c r="K52" s="1">
        <f t="shared" si="20"/>
        <v>75.176077178723105</v>
      </c>
    </row>
    <row r="53" spans="1:11">
      <c r="A53">
        <v>230730.3</v>
      </c>
      <c r="B53">
        <v>42.5</v>
      </c>
      <c r="C53">
        <f t="shared" si="18"/>
        <v>461460.6</v>
      </c>
      <c r="D53">
        <f t="shared" si="12"/>
        <v>10043726.184459858</v>
      </c>
      <c r="E53" s="5">
        <f t="shared" si="13"/>
        <v>10.043726184459857</v>
      </c>
      <c r="F53">
        <f t="shared" si="14"/>
        <v>14530.115857057819</v>
      </c>
      <c r="G53" s="5">
        <f t="shared" si="15"/>
        <v>14.530115857057819</v>
      </c>
      <c r="H53" s="5">
        <f t="shared" si="16"/>
        <v>1481.6649741758997</v>
      </c>
      <c r="I53" s="3">
        <f t="shared" si="17"/>
        <v>8.3482854568506006</v>
      </c>
      <c r="J53">
        <f t="shared" si="19"/>
        <v>5.6040681734486357</v>
      </c>
      <c r="K53" s="1">
        <f t="shared" si="20"/>
        <v>81.196993400813156</v>
      </c>
    </row>
    <row r="54" spans="1:11">
      <c r="A54">
        <v>235508.7</v>
      </c>
      <c r="B54">
        <v>45</v>
      </c>
      <c r="C54">
        <f t="shared" si="18"/>
        <v>471017.4</v>
      </c>
      <c r="D54">
        <f t="shared" si="12"/>
        <v>10294862.639941497</v>
      </c>
      <c r="E54" s="5">
        <f t="shared" si="13"/>
        <v>10.294862639941496</v>
      </c>
      <c r="F54">
        <f t="shared" si="14"/>
        <v>14905.947135657992</v>
      </c>
      <c r="G54" s="5">
        <f t="shared" si="15"/>
        <v>14.905947135657993</v>
      </c>
      <c r="H54" s="5">
        <f t="shared" si="16"/>
        <v>1519.9892413173168</v>
      </c>
      <c r="I54" s="3">
        <f t="shared" si="17"/>
        <v>8.3834090734475684</v>
      </c>
      <c r="J54">
        <f t="shared" si="19"/>
        <v>5.9035308610773276</v>
      </c>
      <c r="K54" s="1">
        <f t="shared" si="20"/>
        <v>86.888353153057011</v>
      </c>
    </row>
    <row r="55" spans="1:11">
      <c r="A55">
        <v>237435.8</v>
      </c>
      <c r="B55">
        <v>47.5</v>
      </c>
      <c r="C55">
        <f t="shared" si="18"/>
        <v>474871.6</v>
      </c>
      <c r="D55">
        <f t="shared" si="12"/>
        <v>10396441.364603922</v>
      </c>
      <c r="E55" s="5">
        <f t="shared" si="13"/>
        <v>10.396441364603922</v>
      </c>
      <c r="F55">
        <f t="shared" si="14"/>
        <v>15057.961951249938</v>
      </c>
      <c r="G55" s="5">
        <f t="shared" si="15"/>
        <v>15.057961951249938</v>
      </c>
      <c r="H55" s="5">
        <f t="shared" si="16"/>
        <v>1535.4904960928586</v>
      </c>
      <c r="I55" s="3">
        <f t="shared" si="17"/>
        <v>8.3974139879542342</v>
      </c>
      <c r="J55">
        <f t="shared" si="19"/>
        <v>6.201738902471627</v>
      </c>
      <c r="K55" s="1">
        <f t="shared" si="20"/>
        <v>92.914170327200011</v>
      </c>
    </row>
    <row r="56" spans="1:11">
      <c r="A56">
        <v>243960.6</v>
      </c>
      <c r="B56">
        <v>50</v>
      </c>
      <c r="C56">
        <f t="shared" si="18"/>
        <v>487921.2</v>
      </c>
      <c r="D56">
        <f t="shared" si="12"/>
        <v>10741616.37240327</v>
      </c>
      <c r="E56" s="5">
        <f t="shared" si="13"/>
        <v>10.74161637240327</v>
      </c>
      <c r="F56">
        <f t="shared" si="14"/>
        <v>15574.524010204139</v>
      </c>
      <c r="G56" s="5">
        <f t="shared" si="15"/>
        <v>15.57452401020414</v>
      </c>
      <c r="H56" s="5">
        <f t="shared" si="16"/>
        <v>1588.1653623685365</v>
      </c>
      <c r="I56" s="3">
        <f t="shared" si="17"/>
        <v>8.4441706638807545</v>
      </c>
      <c r="J56">
        <f t="shared" si="19"/>
        <v>6.4994496028832245</v>
      </c>
      <c r="K56" s="1">
        <f t="shared" si="20"/>
        <v>99.547149358749337</v>
      </c>
    </row>
    <row r="57" spans="1:11">
      <c r="A57">
        <v>250754.5</v>
      </c>
      <c r="B57">
        <v>52.5</v>
      </c>
      <c r="C57">
        <f t="shared" si="18"/>
        <v>501509</v>
      </c>
      <c r="D57">
        <f t="shared" si="12"/>
        <v>11103041.894529162</v>
      </c>
      <c r="E57" s="5">
        <f t="shared" si="13"/>
        <v>11.103041894529161</v>
      </c>
      <c r="F57">
        <f t="shared" si="14"/>
        <v>16115.405324463356</v>
      </c>
      <c r="G57" s="5">
        <f t="shared" si="15"/>
        <v>16.115405324463357</v>
      </c>
      <c r="H57" s="5">
        <f t="shared" si="16"/>
        <v>1643.3201117461774</v>
      </c>
      <c r="I57" s="3">
        <f t="shared" si="17"/>
        <v>8.4918106181975546</v>
      </c>
      <c r="J57">
        <f t="shared" si="19"/>
        <v>6.7955118332089972</v>
      </c>
      <c r="K57" s="1">
        <f t="shared" si="20"/>
        <v>107.67464489364495</v>
      </c>
    </row>
    <row r="58" spans="1:11">
      <c r="A58">
        <v>176646.7</v>
      </c>
      <c r="B58">
        <v>55</v>
      </c>
      <c r="C58">
        <f t="shared" si="18"/>
        <v>353293.4</v>
      </c>
      <c r="D58">
        <f t="shared" si="12"/>
        <v>7280092.7098015416</v>
      </c>
      <c r="E58" s="5">
        <f t="shared" si="13"/>
        <v>7.2800927098015409</v>
      </c>
      <c r="F58">
        <f t="shared" si="14"/>
        <v>10394.277034410163</v>
      </c>
      <c r="G58" s="5">
        <f t="shared" si="15"/>
        <v>10.394277034410162</v>
      </c>
      <c r="H58" s="5">
        <f t="shared" si="16"/>
        <v>1059.9252177528731</v>
      </c>
      <c r="I58" s="3">
        <f t="shared" si="17"/>
        <v>7.9038454295287108</v>
      </c>
      <c r="J58">
        <f t="shared" si="19"/>
        <v>7.0899131231580004</v>
      </c>
      <c r="K58" s="1">
        <f t="shared" si="20"/>
        <v>93.975672423463749</v>
      </c>
    </row>
    <row r="59" spans="1:11">
      <c r="A59">
        <v>0</v>
      </c>
      <c r="B59">
        <v>57.5</v>
      </c>
      <c r="C59">
        <f t="shared" si="18"/>
        <v>0</v>
      </c>
      <c r="D59">
        <f t="shared" ref="D59" si="21">(((7.924/(98066^0.4))*1683*C59*(0.95*338.917*2634)^0.5)/(957*0.647*0.96))^(1/0.6)</f>
        <v>0</v>
      </c>
      <c r="E59" s="5">
        <f t="shared" ref="E59" si="22">D59*10^(-12)</f>
        <v>0</v>
      </c>
      <c r="F59" t="e">
        <f t="shared" si="14"/>
        <v>#DIV/0!</v>
      </c>
      <c r="G59" s="5">
        <v>0</v>
      </c>
      <c r="H59" s="5">
        <f t="shared" si="16"/>
        <v>0</v>
      </c>
      <c r="I59" s="3">
        <f t="shared" ref="I59" si="23">7.924*((E59)^0.4)</f>
        <v>0</v>
      </c>
      <c r="J59">
        <f t="shared" si="19"/>
        <v>7.406214855307268</v>
      </c>
      <c r="K59" s="1">
        <f t="shared" si="20"/>
        <v>38.49112449121386</v>
      </c>
    </row>
    <row r="60" spans="1:11" ht="15.75">
      <c r="A60" s="3"/>
      <c r="B60" s="3"/>
      <c r="C60" s="3"/>
      <c r="K60" s="6">
        <f>SUM(K37:K59)</f>
        <v>1097.6446053657364</v>
      </c>
    </row>
    <row r="61" spans="1:11">
      <c r="A61" s="3"/>
      <c r="B61" s="3"/>
      <c r="C61" s="3"/>
    </row>
    <row r="63" spans="1:11" ht="36.75" customHeight="1">
      <c r="A63" s="201" t="s">
        <v>16</v>
      </c>
      <c r="B63" s="202"/>
      <c r="C63" s="202"/>
      <c r="D63" s="202"/>
      <c r="E63" s="202"/>
      <c r="F63" s="202"/>
      <c r="G63" s="202"/>
      <c r="H63" s="202"/>
      <c r="I63" s="202"/>
      <c r="J63" s="202"/>
      <c r="K63" s="202"/>
    </row>
    <row r="64" spans="1:11">
      <c r="A64" t="s">
        <v>0</v>
      </c>
      <c r="B64" t="s">
        <v>5</v>
      </c>
      <c r="C64" t="s">
        <v>6</v>
      </c>
      <c r="D64" t="s">
        <v>4</v>
      </c>
      <c r="E64" s="5" t="s">
        <v>8</v>
      </c>
      <c r="F64" t="s">
        <v>7</v>
      </c>
      <c r="G64" s="5" t="s">
        <v>9</v>
      </c>
      <c r="H64" s="5" t="s">
        <v>10</v>
      </c>
      <c r="I64" s="3" t="s">
        <v>13</v>
      </c>
      <c r="J64" t="s">
        <v>12</v>
      </c>
      <c r="K64" s="1" t="s">
        <v>11</v>
      </c>
    </row>
    <row r="65" spans="1:13">
      <c r="A65" s="4">
        <v>108912.4</v>
      </c>
      <c r="B65">
        <v>0</v>
      </c>
      <c r="C65">
        <f>A65*2+785.39+6207.8</f>
        <v>224817.99</v>
      </c>
      <c r="D65">
        <f>((3.8*(10^(-3)/98066.5^0.17)*1683*C65*(0.95*338.917*2634)^0.5)/(957*0.647*0.96))^(1/(1-0.17))</f>
        <v>4223043.0432078931</v>
      </c>
      <c r="E65" s="5">
        <f>D65*10^(-6)</f>
        <v>4.2230430432078929</v>
      </c>
      <c r="F65">
        <f>1*0.95*E65*957*((0.293-(0.098/E65))/0.178)</f>
        <v>5819.3343693292672</v>
      </c>
      <c r="G65" s="5">
        <v>0</v>
      </c>
      <c r="H65" s="5">
        <v>0</v>
      </c>
      <c r="I65" s="3">
        <f>3.8*((E65/0.098)^0.17)</f>
        <v>7.2049587729140274</v>
      </c>
      <c r="J65">
        <v>0</v>
      </c>
      <c r="K65" s="1"/>
    </row>
    <row r="66" spans="1:13">
      <c r="A66" s="4">
        <v>122439.3</v>
      </c>
      <c r="B66">
        <v>2.5</v>
      </c>
      <c r="C66">
        <f>A66*2</f>
        <v>244878.6</v>
      </c>
      <c r="D66">
        <f t="shared" ref="D66:D86" si="24">((3.8*(10^(-3)/98066.5^0.17)*1683*C66*(0.95*338.917*2634)^0.5)/(957*0.647*0.96))^(1/(1-0.17))</f>
        <v>4681102.2337618414</v>
      </c>
      <c r="E66" s="5">
        <f t="shared" ref="E66:E87" si="25">D66*10^(-6)</f>
        <v>4.6811022337618411</v>
      </c>
      <c r="F66">
        <f t="shared" ref="F66:F87" si="26">1*0.95*E66*957*((0.293-(0.098/E66))/0.178)</f>
        <v>6504.830112789894</v>
      </c>
      <c r="G66" s="5">
        <f t="shared" ref="G66:G86" si="27">F66*10^-3</f>
        <v>6.504830112789894</v>
      </c>
      <c r="H66" s="5">
        <f t="shared" ref="H66:H87" si="28">G66*101.972</f>
        <v>663.31053626141102</v>
      </c>
      <c r="I66" s="3">
        <f t="shared" ref="I66:I86" si="29">3.8*((E66/0.098)^0.17)</f>
        <v>7.332200717622575</v>
      </c>
      <c r="J66">
        <f>J65+2.5/I65</f>
        <v>0.34698324845360373</v>
      </c>
      <c r="K66" s="1">
        <f>((H66+H65)/2)*J66</f>
        <v>115.07882230274315</v>
      </c>
    </row>
    <row r="67" spans="1:13">
      <c r="A67" s="4">
        <v>129087</v>
      </c>
      <c r="B67">
        <v>5</v>
      </c>
      <c r="C67">
        <f t="shared" ref="C67:C87" si="30">A67*2</f>
        <v>258174</v>
      </c>
      <c r="D67">
        <f t="shared" si="24"/>
        <v>4988991.7817279603</v>
      </c>
      <c r="E67" s="5">
        <f t="shared" si="25"/>
        <v>4.9889917817279601</v>
      </c>
      <c r="F67">
        <f t="shared" si="26"/>
        <v>6965.5936537016096</v>
      </c>
      <c r="G67" s="5">
        <f t="shared" si="27"/>
        <v>6.9655936537016094</v>
      </c>
      <c r="H67" s="5">
        <f t="shared" si="28"/>
        <v>710.29551605526046</v>
      </c>
      <c r="I67" s="3">
        <f t="shared" si="29"/>
        <v>7.4120328903341068</v>
      </c>
      <c r="J67">
        <f t="shared" ref="J67:J87" si="31">J66+2.5/I66</f>
        <v>0.68794500008587645</v>
      </c>
      <c r="K67" s="1">
        <f t="shared" ref="K67:K87" si="32">((H67+H66)/2)*J67</f>
        <v>472.4827078894765</v>
      </c>
    </row>
    <row r="68" spans="1:13">
      <c r="A68" s="3">
        <v>142492.4</v>
      </c>
      <c r="B68">
        <v>7.5</v>
      </c>
      <c r="C68">
        <f t="shared" si="30"/>
        <v>284984.8</v>
      </c>
      <c r="D68">
        <f t="shared" si="24"/>
        <v>5619667.3924477771</v>
      </c>
      <c r="E68" s="5">
        <f t="shared" si="25"/>
        <v>5.6196673924477771</v>
      </c>
      <c r="F68">
        <f t="shared" si="26"/>
        <v>7909.4137004733811</v>
      </c>
      <c r="G68" s="5">
        <f t="shared" si="27"/>
        <v>7.9094137004733813</v>
      </c>
      <c r="H68" s="5">
        <f t="shared" si="28"/>
        <v>806.5387338646716</v>
      </c>
      <c r="I68" s="3">
        <f t="shared" si="29"/>
        <v>7.5635549736000875</v>
      </c>
      <c r="J68">
        <f t="shared" si="31"/>
        <v>1.0252343830377793</v>
      </c>
      <c r="K68" s="1">
        <f t="shared" si="32"/>
        <v>777.55531319361705</v>
      </c>
    </row>
    <row r="69" spans="1:13">
      <c r="A69" s="3">
        <v>152191.1</v>
      </c>
      <c r="B69">
        <v>10</v>
      </c>
      <c r="C69">
        <f t="shared" si="30"/>
        <v>304382.2</v>
      </c>
      <c r="D69">
        <f t="shared" si="24"/>
        <v>6083667.8824597029</v>
      </c>
      <c r="E69" s="5">
        <f t="shared" si="25"/>
        <v>6.0836678824597028</v>
      </c>
      <c r="F69">
        <f t="shared" si="26"/>
        <v>8603.8007304163129</v>
      </c>
      <c r="G69" s="5">
        <f t="shared" si="27"/>
        <v>8.6038007304163138</v>
      </c>
      <c r="H69" s="5">
        <f t="shared" si="28"/>
        <v>877.34676808201232</v>
      </c>
      <c r="I69" s="3">
        <f t="shared" si="29"/>
        <v>7.6662556588102762</v>
      </c>
      <c r="J69">
        <f t="shared" si="31"/>
        <v>1.3557667859522853</v>
      </c>
      <c r="K69" s="1">
        <f t="shared" si="32"/>
        <v>1141.4780174429532</v>
      </c>
    </row>
    <row r="70" spans="1:13">
      <c r="A70" s="3">
        <v>160549.6</v>
      </c>
      <c r="B70">
        <v>12.5</v>
      </c>
      <c r="C70">
        <f t="shared" si="30"/>
        <v>321099.2</v>
      </c>
      <c r="D70">
        <f t="shared" si="24"/>
        <v>6488456.0444211271</v>
      </c>
      <c r="E70" s="5">
        <f t="shared" si="25"/>
        <v>6.4884560444211266</v>
      </c>
      <c r="F70">
        <f t="shared" si="26"/>
        <v>9209.5751974502327</v>
      </c>
      <c r="G70" s="5">
        <f t="shared" si="27"/>
        <v>9.2095751974502331</v>
      </c>
      <c r="H70" s="5">
        <f t="shared" si="28"/>
        <v>939.11880203439512</v>
      </c>
      <c r="I70" s="3">
        <f t="shared" si="29"/>
        <v>7.7506691036984172</v>
      </c>
      <c r="J70">
        <f t="shared" si="31"/>
        <v>1.6818712248418142</v>
      </c>
      <c r="K70" s="1">
        <f t="shared" si="32"/>
        <v>1527.5305866473332</v>
      </c>
    </row>
    <row r="71" spans="1:13">
      <c r="A71" s="3">
        <v>170059.3</v>
      </c>
      <c r="B71">
        <v>15</v>
      </c>
      <c r="C71">
        <f t="shared" si="30"/>
        <v>340118.6</v>
      </c>
      <c r="D71">
        <f t="shared" si="24"/>
        <v>6954264.3806706956</v>
      </c>
      <c r="E71" s="5">
        <f t="shared" si="25"/>
        <v>6.9542643806706952</v>
      </c>
      <c r="F71">
        <f t="shared" si="26"/>
        <v>9906.6677094057359</v>
      </c>
      <c r="G71" s="5">
        <f t="shared" si="27"/>
        <v>9.9066677094057365</v>
      </c>
      <c r="H71" s="5">
        <f t="shared" si="28"/>
        <v>1010.2027196635217</v>
      </c>
      <c r="I71" s="3">
        <f t="shared" si="29"/>
        <v>7.8425603124672074</v>
      </c>
      <c r="J71">
        <f t="shared" si="31"/>
        <v>2.0044240220973526</v>
      </c>
      <c r="K71" s="1">
        <f t="shared" si="32"/>
        <v>1953.6334424413353</v>
      </c>
    </row>
    <row r="72" spans="1:13">
      <c r="A72" s="3">
        <v>179736.9</v>
      </c>
      <c r="B72">
        <v>17.5</v>
      </c>
      <c r="C72">
        <f t="shared" si="30"/>
        <v>359473.8</v>
      </c>
      <c r="D72">
        <f t="shared" si="24"/>
        <v>7433806.7916812077</v>
      </c>
      <c r="E72" s="5">
        <f t="shared" si="25"/>
        <v>7.4338067916812074</v>
      </c>
      <c r="F72">
        <f t="shared" si="26"/>
        <v>10624.313569014001</v>
      </c>
      <c r="G72" s="5">
        <f t="shared" si="27"/>
        <v>10.624313569014001</v>
      </c>
      <c r="H72" s="5">
        <f t="shared" si="28"/>
        <v>1083.3825032594957</v>
      </c>
      <c r="I72" s="3">
        <f t="shared" si="29"/>
        <v>7.9319703028044204</v>
      </c>
      <c r="J72">
        <f t="shared" si="31"/>
        <v>2.3231974711234042</v>
      </c>
      <c r="K72" s="1">
        <f t="shared" si="32"/>
        <v>2431.9059477380415</v>
      </c>
    </row>
    <row r="73" spans="1:13">
      <c r="A73" s="3">
        <v>188730.4</v>
      </c>
      <c r="B73">
        <v>20</v>
      </c>
      <c r="C73">
        <f t="shared" si="30"/>
        <v>377460.8</v>
      </c>
      <c r="D73">
        <f t="shared" si="24"/>
        <v>7884224.7584287087</v>
      </c>
      <c r="E73" s="5">
        <f t="shared" si="25"/>
        <v>7.884224758428708</v>
      </c>
      <c r="F73">
        <f t="shared" si="26"/>
        <v>11298.374051481796</v>
      </c>
      <c r="G73" s="5">
        <f t="shared" si="27"/>
        <v>11.298374051481797</v>
      </c>
      <c r="H73" s="5">
        <f t="shared" si="28"/>
        <v>1152.1177987777019</v>
      </c>
      <c r="I73" s="3">
        <f t="shared" si="29"/>
        <v>8.0116910430572101</v>
      </c>
      <c r="J73">
        <f t="shared" si="31"/>
        <v>2.6383776728339554</v>
      </c>
      <c r="K73" s="1">
        <f t="shared" si="32"/>
        <v>2949.047042254253</v>
      </c>
    </row>
    <row r="74" spans="1:13">
      <c r="A74" s="3">
        <v>197021.9</v>
      </c>
      <c r="B74">
        <v>22.5</v>
      </c>
      <c r="C74">
        <f t="shared" si="30"/>
        <v>394043.8</v>
      </c>
      <c r="D74">
        <f t="shared" si="24"/>
        <v>8303403.7543824548</v>
      </c>
      <c r="E74" s="5">
        <f t="shared" si="25"/>
        <v>8.3034037543824546</v>
      </c>
      <c r="F74">
        <f t="shared" si="26"/>
        <v>11925.684720932388</v>
      </c>
      <c r="G74" s="5">
        <f t="shared" si="27"/>
        <v>11.925684720932388</v>
      </c>
      <c r="H74" s="5">
        <f t="shared" si="28"/>
        <v>1216.0859223629175</v>
      </c>
      <c r="I74" s="3">
        <f t="shared" si="29"/>
        <v>8.0825557762686628</v>
      </c>
      <c r="J74">
        <f t="shared" si="31"/>
        <v>2.9504216578758466</v>
      </c>
      <c r="K74" s="1">
        <f t="shared" si="32"/>
        <v>3493.5997745577279</v>
      </c>
    </row>
    <row r="75" spans="1:13">
      <c r="A75">
        <v>204713.5</v>
      </c>
      <c r="B75">
        <v>25</v>
      </c>
      <c r="C75">
        <f>A75*2</f>
        <v>409427</v>
      </c>
      <c r="D75">
        <f t="shared" si="24"/>
        <v>8695502.5526639782</v>
      </c>
      <c r="E75" s="5">
        <f t="shared" si="25"/>
        <v>8.695502552663978</v>
      </c>
      <c r="F75">
        <f t="shared" si="26"/>
        <v>12512.469273629522</v>
      </c>
      <c r="G75" s="5">
        <f t="shared" si="27"/>
        <v>12.512469273629522</v>
      </c>
      <c r="H75" s="5">
        <f t="shared" si="28"/>
        <v>1275.9215167705495</v>
      </c>
      <c r="I75" s="3">
        <f t="shared" si="29"/>
        <v>8.1462036040245067</v>
      </c>
      <c r="J75">
        <f t="shared" si="31"/>
        <v>3.2597297615502185</v>
      </c>
      <c r="K75" s="1">
        <f t="shared" si="32"/>
        <v>4061.6354076739535</v>
      </c>
    </row>
    <row r="76" spans="1:13">
      <c r="A76">
        <v>213098.4</v>
      </c>
      <c r="B76">
        <v>27.5</v>
      </c>
      <c r="C76">
        <f>A76*2</f>
        <v>426196.8</v>
      </c>
      <c r="D76">
        <f t="shared" si="24"/>
        <v>9126392.682239227</v>
      </c>
      <c r="E76" s="5">
        <f t="shared" si="25"/>
        <v>9.1263926822392261</v>
      </c>
      <c r="F76">
        <f t="shared" si="26"/>
        <v>13157.305914426592</v>
      </c>
      <c r="G76" s="5">
        <f t="shared" si="27"/>
        <v>13.157305914426592</v>
      </c>
      <c r="H76" s="5">
        <f t="shared" si="28"/>
        <v>1341.6767987059084</v>
      </c>
      <c r="I76" s="3">
        <f t="shared" si="29"/>
        <v>8.2134575985479383</v>
      </c>
      <c r="J76">
        <f t="shared" si="31"/>
        <v>3.566621182575457</v>
      </c>
      <c r="K76" s="1">
        <f t="shared" si="32"/>
        <v>4667.9907997260843</v>
      </c>
    </row>
    <row r="77" spans="1:13">
      <c r="A77">
        <v>221700.2</v>
      </c>
      <c r="B77">
        <v>30</v>
      </c>
      <c r="C77">
        <f>A77*2</f>
        <v>443400.4</v>
      </c>
      <c r="D77">
        <f t="shared" si="24"/>
        <v>9572052.0174170192</v>
      </c>
      <c r="E77" s="5">
        <f t="shared" si="25"/>
        <v>9.5720520174170183</v>
      </c>
      <c r="F77">
        <f t="shared" si="26"/>
        <v>13824.244999151468</v>
      </c>
      <c r="G77" s="5">
        <f t="shared" si="27"/>
        <v>13.824244999151468</v>
      </c>
      <c r="H77" s="5">
        <f t="shared" si="28"/>
        <v>1409.6859110534733</v>
      </c>
      <c r="I77" s="3">
        <f t="shared" si="29"/>
        <v>8.280299055234817</v>
      </c>
      <c r="J77">
        <f t="shared" si="31"/>
        <v>3.8709996943050333</v>
      </c>
      <c r="K77" s="1">
        <f t="shared" si="32"/>
        <v>5325.2621042004175</v>
      </c>
    </row>
    <row r="78" spans="1:13">
      <c r="A78">
        <v>230398.2</v>
      </c>
      <c r="B78">
        <v>32.5</v>
      </c>
      <c r="C78">
        <f t="shared" si="30"/>
        <v>460796.4</v>
      </c>
      <c r="D78">
        <f t="shared" si="24"/>
        <v>10026311.445397357</v>
      </c>
      <c r="E78" s="5">
        <f t="shared" si="25"/>
        <v>10.026311445397356</v>
      </c>
      <c r="F78">
        <f t="shared" si="26"/>
        <v>14504.054313600116</v>
      </c>
      <c r="G78" s="5">
        <f t="shared" si="27"/>
        <v>14.504054313600117</v>
      </c>
      <c r="H78" s="5">
        <f t="shared" si="28"/>
        <v>1479.0074264664311</v>
      </c>
      <c r="I78" s="3">
        <f t="shared" si="29"/>
        <v>8.3458229296246973</v>
      </c>
      <c r="J78">
        <f t="shared" si="31"/>
        <v>4.1729211567212365</v>
      </c>
      <c r="K78" s="1">
        <f t="shared" si="32"/>
        <v>6027.1447717082438</v>
      </c>
    </row>
    <row r="79" spans="1:13">
      <c r="A79">
        <v>227464.6</v>
      </c>
      <c r="B79">
        <v>35</v>
      </c>
      <c r="C79">
        <f t="shared" si="30"/>
        <v>454929.2</v>
      </c>
      <c r="D79">
        <f t="shared" si="24"/>
        <v>9872702.5667285211</v>
      </c>
      <c r="E79" s="5">
        <f t="shared" si="25"/>
        <v>9.8727025667285204</v>
      </c>
      <c r="F79">
        <f t="shared" si="26"/>
        <v>14274.17521793585</v>
      </c>
      <c r="G79" s="5">
        <f t="shared" si="27"/>
        <v>14.27417521793585</v>
      </c>
      <c r="H79" s="5">
        <f t="shared" si="28"/>
        <v>1455.5661953233543</v>
      </c>
      <c r="I79" s="3">
        <f t="shared" si="29"/>
        <v>8.3239467410230592</v>
      </c>
      <c r="J79">
        <f t="shared" si="31"/>
        <v>4.4724722041231519</v>
      </c>
      <c r="K79" s="1">
        <f t="shared" si="32"/>
        <v>6562.3994772039114</v>
      </c>
      <c r="M79" s="2"/>
    </row>
    <row r="80" spans="1:13">
      <c r="A80">
        <v>232761.2</v>
      </c>
      <c r="B80">
        <v>37.5</v>
      </c>
      <c r="C80">
        <f t="shared" si="30"/>
        <v>465522.4</v>
      </c>
      <c r="D80">
        <f t="shared" si="24"/>
        <v>10150334.498447264</v>
      </c>
      <c r="E80" s="5">
        <f t="shared" si="25"/>
        <v>10.150334498447263</v>
      </c>
      <c r="F80">
        <f t="shared" si="26"/>
        <v>14689.657564686268</v>
      </c>
      <c r="G80" s="5">
        <f t="shared" si="27"/>
        <v>14.689657564686268</v>
      </c>
      <c r="H80" s="5">
        <f t="shared" si="28"/>
        <v>1497.9337611861881</v>
      </c>
      <c r="I80" s="3">
        <f t="shared" si="29"/>
        <v>8.3632835996879944</v>
      </c>
      <c r="J80">
        <f t="shared" si="31"/>
        <v>4.7728105025025975</v>
      </c>
      <c r="K80" s="1">
        <f t="shared" si="32"/>
        <v>7048.2478057848539</v>
      </c>
    </row>
    <row r="81" spans="1:11">
      <c r="A81">
        <v>226542.2</v>
      </c>
      <c r="B81">
        <v>40</v>
      </c>
      <c r="C81">
        <f t="shared" si="30"/>
        <v>453084.4</v>
      </c>
      <c r="D81">
        <f t="shared" si="24"/>
        <v>9824487.4913753271</v>
      </c>
      <c r="E81" s="5">
        <f t="shared" si="25"/>
        <v>9.8244874913753275</v>
      </c>
      <c r="F81">
        <f t="shared" si="26"/>
        <v>14202.020287728519</v>
      </c>
      <c r="G81" s="5">
        <f t="shared" si="27"/>
        <v>14.202020287728519</v>
      </c>
      <c r="H81" s="5">
        <f t="shared" si="28"/>
        <v>1448.2084127802525</v>
      </c>
      <c r="I81" s="3">
        <f t="shared" si="29"/>
        <v>8.317021945698917</v>
      </c>
      <c r="J81">
        <f t="shared" si="31"/>
        <v>5.0717361541561257</v>
      </c>
      <c r="K81" s="1">
        <f t="shared" si="32"/>
        <v>7471.0278894948615</v>
      </c>
    </row>
    <row r="82" spans="1:11">
      <c r="A82">
        <v>230573.3</v>
      </c>
      <c r="B82">
        <v>42.5</v>
      </c>
      <c r="C82">
        <f t="shared" si="30"/>
        <v>461146.6</v>
      </c>
      <c r="D82">
        <f t="shared" si="24"/>
        <v>10035492.740696264</v>
      </c>
      <c r="E82" s="5">
        <f t="shared" si="25"/>
        <v>10.035492740696265</v>
      </c>
      <c r="F82">
        <f t="shared" si="26"/>
        <v>14517.794325757159</v>
      </c>
      <c r="G82" s="5">
        <f t="shared" si="27"/>
        <v>14.517794325757158</v>
      </c>
      <c r="H82" s="5">
        <f t="shared" si="28"/>
        <v>1480.4085229861089</v>
      </c>
      <c r="I82" s="3">
        <f t="shared" si="29"/>
        <v>8.3471216506488233</v>
      </c>
      <c r="J82">
        <f t="shared" si="31"/>
        <v>5.3723245157502486</v>
      </c>
      <c r="K82" s="1">
        <f t="shared" si="32"/>
        <v>7866.7402806294967</v>
      </c>
    </row>
    <row r="83" spans="1:11">
      <c r="A83">
        <v>234394.8</v>
      </c>
      <c r="B83" s="3">
        <v>45</v>
      </c>
      <c r="C83">
        <f t="shared" si="30"/>
        <v>468789.6</v>
      </c>
      <c r="D83">
        <f t="shared" si="24"/>
        <v>10236225.735251466</v>
      </c>
      <c r="E83" s="5">
        <f t="shared" si="25"/>
        <v>10.236225735251466</v>
      </c>
      <c r="F83">
        <f t="shared" si="26"/>
        <v>14818.195706577155</v>
      </c>
      <c r="G83" s="5">
        <f t="shared" si="27"/>
        <v>14.818195706577155</v>
      </c>
      <c r="H83" s="5">
        <f t="shared" si="28"/>
        <v>1511.0410525910856</v>
      </c>
      <c r="I83" s="3">
        <f t="shared" si="29"/>
        <v>8.37527236081689</v>
      </c>
      <c r="J83">
        <f t="shared" si="31"/>
        <v>5.6718289562786399</v>
      </c>
      <c r="K83" s="1">
        <f t="shared" si="32"/>
        <v>8483.4951620030897</v>
      </c>
    </row>
    <row r="84" spans="1:11">
      <c r="A84">
        <v>205818</v>
      </c>
      <c r="B84">
        <v>47.5</v>
      </c>
      <c r="C84">
        <f t="shared" si="30"/>
        <v>411636</v>
      </c>
      <c r="D84">
        <f t="shared" si="24"/>
        <v>8752058.1229312047</v>
      </c>
      <c r="E84" s="5">
        <f t="shared" si="25"/>
        <v>8.7520581229312047</v>
      </c>
      <c r="F84">
        <f t="shared" si="26"/>
        <v>12597.105939559724</v>
      </c>
      <c r="G84" s="5">
        <f t="shared" si="27"/>
        <v>12.597105939559725</v>
      </c>
      <c r="H84" s="5">
        <f t="shared" si="28"/>
        <v>1284.5520868687843</v>
      </c>
      <c r="I84" s="3">
        <f t="shared" si="29"/>
        <v>8.1551864862814334</v>
      </c>
      <c r="J84">
        <f t="shared" si="31"/>
        <v>5.9703267116108805</v>
      </c>
      <c r="K84" s="1">
        <f t="shared" si="32"/>
        <v>8345.3021976566924</v>
      </c>
    </row>
    <row r="85" spans="1:11">
      <c r="B85">
        <v>50</v>
      </c>
      <c r="C85">
        <f>255.2*816.6</f>
        <v>208396.32</v>
      </c>
      <c r="D85">
        <f t="shared" si="24"/>
        <v>3854229.2065148195</v>
      </c>
      <c r="E85" s="5">
        <f t="shared" si="25"/>
        <v>3.8542292065148192</v>
      </c>
      <c r="F85">
        <f t="shared" si="26"/>
        <v>5267.3962783660872</v>
      </c>
      <c r="G85" s="5">
        <f t="shared" si="27"/>
        <v>5.2673962783660873</v>
      </c>
      <c r="H85" s="5">
        <f t="shared" si="28"/>
        <v>537.12693329754666</v>
      </c>
      <c r="I85" s="3">
        <f t="shared" si="29"/>
        <v>7.0938915572263133</v>
      </c>
      <c r="J85">
        <f t="shared" si="31"/>
        <v>6.2768800938303393</v>
      </c>
      <c r="K85" s="1">
        <f t="shared" si="32"/>
        <v>5717.2303895151999</v>
      </c>
    </row>
    <row r="86" spans="1:11">
      <c r="B86">
        <v>52.5</v>
      </c>
      <c r="C86">
        <f>815.7*12.624*5</f>
        <v>51486.984000000004</v>
      </c>
      <c r="D86">
        <f t="shared" si="24"/>
        <v>715122.09563996329</v>
      </c>
      <c r="E86" s="5">
        <f t="shared" si="25"/>
        <v>0.71512209563996321</v>
      </c>
      <c r="F86">
        <f t="shared" si="26"/>
        <v>569.65282698069791</v>
      </c>
      <c r="G86" s="5">
        <f t="shared" si="27"/>
        <v>0.56965282698069797</v>
      </c>
      <c r="H86" s="5">
        <f t="shared" si="28"/>
        <v>58.088638072875732</v>
      </c>
      <c r="I86" s="3">
        <f t="shared" si="29"/>
        <v>5.3274550887247143</v>
      </c>
      <c r="J86">
        <f t="shared" si="31"/>
        <v>6.6292959687887505</v>
      </c>
      <c r="K86" s="1">
        <f t="shared" si="32"/>
        <v>1972.9300939231168</v>
      </c>
    </row>
    <row r="87" spans="1:11">
      <c r="B87">
        <v>55</v>
      </c>
      <c r="C87">
        <f t="shared" si="30"/>
        <v>0</v>
      </c>
      <c r="D87">
        <f t="shared" ref="D87" si="33">((2.06*(10^(-3)/98066.5^0.31)*1683*C87*(0.95*338.917*2634)^0.5)/(957*0.647*0.96))^(1/(1-0.31))</f>
        <v>0</v>
      </c>
      <c r="E87" s="5">
        <f t="shared" si="25"/>
        <v>0</v>
      </c>
      <c r="F87" t="e">
        <f t="shared" si="26"/>
        <v>#DIV/0!</v>
      </c>
      <c r="G87" s="5">
        <v>0</v>
      </c>
      <c r="H87" s="5">
        <f t="shared" si="28"/>
        <v>0</v>
      </c>
      <c r="I87" s="3">
        <f t="shared" ref="I87" si="34">2.06*((E87/0.098)^0.31)</f>
        <v>0</v>
      </c>
      <c r="J87">
        <f t="shared" si="31"/>
        <v>7.098563181438017</v>
      </c>
      <c r="K87" s="1">
        <f t="shared" si="32"/>
        <v>206.17293374199713</v>
      </c>
    </row>
    <row r="88" spans="1:11" ht="15.75">
      <c r="K88" s="6">
        <f>SUM(K66:K87)</f>
        <v>88617.890967729414</v>
      </c>
    </row>
  </sheetData>
  <mergeCells count="3">
    <mergeCell ref="A63:K63"/>
    <mergeCell ref="A34:K34"/>
    <mergeCell ref="A1:K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334"/>
  <sheetViews>
    <sheetView zoomScale="70" zoomScaleNormal="70" workbookViewId="0">
      <selection activeCell="C58" sqref="C58"/>
    </sheetView>
  </sheetViews>
  <sheetFormatPr defaultRowHeight="15"/>
  <cols>
    <col min="1" max="1" width="18" customWidth="1"/>
    <col min="2" max="2" width="10.85546875" customWidth="1"/>
    <col min="3" max="3" width="17.42578125" customWidth="1"/>
    <col min="4" max="4" width="10.7109375" customWidth="1"/>
    <col min="5" max="5" width="8.28515625" customWidth="1"/>
    <col min="6" max="6" width="10.7109375" customWidth="1"/>
    <col min="7" max="7" width="7.85546875" customWidth="1"/>
    <col min="8" max="8" width="9.42578125" customWidth="1"/>
    <col min="9" max="9" width="17" customWidth="1"/>
    <col min="10" max="10" width="14.140625" customWidth="1"/>
    <col min="11" max="11" width="14.28515625" customWidth="1"/>
    <col min="12" max="12" width="13.140625" customWidth="1"/>
    <col min="13" max="13" width="10.7109375" customWidth="1"/>
    <col min="14" max="14" width="17.28515625" customWidth="1"/>
    <col min="15" max="15" width="13.5703125" customWidth="1"/>
    <col min="16" max="16" width="14.7109375" customWidth="1"/>
    <col min="18" max="19" width="13.85546875" customWidth="1"/>
    <col min="20" max="20" width="12.85546875" customWidth="1"/>
    <col min="22" max="22" width="15" customWidth="1"/>
    <col min="24" max="24" width="14.5703125" customWidth="1"/>
    <col min="27" max="27" width="12.42578125" customWidth="1"/>
    <col min="28" max="28" width="2.42578125" hidden="1" customWidth="1"/>
    <col min="29" max="29" width="9.140625" customWidth="1"/>
    <col min="30" max="30" width="10.85546875" customWidth="1"/>
    <col min="31" max="31" width="10.42578125" customWidth="1"/>
    <col min="33" max="33" width="12.7109375" customWidth="1"/>
    <col min="36" max="36" width="9.140625" customWidth="1"/>
    <col min="37" max="37" width="13.7109375" customWidth="1"/>
    <col min="38" max="38" width="17.28515625" customWidth="1"/>
    <col min="39" max="39" width="16.7109375" customWidth="1"/>
    <col min="40" max="40" width="19.42578125" customWidth="1"/>
    <col min="41" max="41" width="10.85546875" customWidth="1"/>
    <col min="42" max="42" width="18.5703125" customWidth="1"/>
    <col min="43" max="43" width="20.5703125" customWidth="1"/>
    <col min="44" max="44" width="20.42578125" customWidth="1"/>
    <col min="45" max="45" width="16" customWidth="1"/>
    <col min="46" max="46" width="23.140625" customWidth="1"/>
    <col min="47" max="47" width="29.42578125" customWidth="1"/>
    <col min="48" max="48" width="16.85546875" customWidth="1"/>
    <col min="49" max="49" width="15.5703125" customWidth="1"/>
  </cols>
  <sheetData>
    <row r="1" spans="1:33" ht="21.75" thickBot="1">
      <c r="A1" s="203" t="s">
        <v>73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</row>
    <row r="2" spans="1:33" ht="15.75" thickBot="1">
      <c r="A2" s="204" t="s">
        <v>0</v>
      </c>
      <c r="B2" s="204" t="s">
        <v>5</v>
      </c>
      <c r="C2" s="204" t="s">
        <v>6</v>
      </c>
      <c r="D2" s="209" t="s">
        <v>18</v>
      </c>
      <c r="E2" s="210"/>
      <c r="F2" s="210"/>
      <c r="G2" s="210"/>
      <c r="H2" s="210"/>
      <c r="I2" s="210"/>
      <c r="J2" s="210"/>
      <c r="K2" s="211"/>
      <c r="L2" s="212" t="s">
        <v>17</v>
      </c>
      <c r="M2" s="213"/>
      <c r="N2" s="213"/>
      <c r="O2" s="213"/>
      <c r="P2" s="213"/>
      <c r="Q2" s="213"/>
      <c r="R2" s="213"/>
      <c r="S2" s="213"/>
      <c r="T2" s="209" t="s">
        <v>20</v>
      </c>
      <c r="U2" s="214"/>
      <c r="V2" s="214"/>
      <c r="W2" s="214"/>
      <c r="X2" s="214"/>
      <c r="Y2" s="214"/>
      <c r="Z2" s="214"/>
      <c r="AA2" s="215"/>
      <c r="AF2" s="3"/>
      <c r="AG2" s="3"/>
    </row>
    <row r="3" spans="1:33" ht="15.75" thickBot="1">
      <c r="A3" s="205"/>
      <c r="B3" s="205"/>
      <c r="C3" s="205"/>
      <c r="D3" s="19" t="s">
        <v>19</v>
      </c>
      <c r="E3" s="12" t="s">
        <v>8</v>
      </c>
      <c r="F3" s="12" t="s">
        <v>7</v>
      </c>
      <c r="G3" s="12" t="s">
        <v>9</v>
      </c>
      <c r="H3" s="12" t="s">
        <v>10</v>
      </c>
      <c r="I3" s="12" t="s">
        <v>13</v>
      </c>
      <c r="J3" s="11" t="s">
        <v>12</v>
      </c>
      <c r="K3" s="17" t="s">
        <v>11</v>
      </c>
      <c r="L3" s="34" t="s">
        <v>19</v>
      </c>
      <c r="M3" s="35" t="s">
        <v>8</v>
      </c>
      <c r="N3" s="35" t="s">
        <v>7</v>
      </c>
      <c r="O3" s="35" t="s">
        <v>9</v>
      </c>
      <c r="P3" s="35" t="s">
        <v>10</v>
      </c>
      <c r="Q3" s="35" t="s">
        <v>13</v>
      </c>
      <c r="R3" s="36" t="s">
        <v>12</v>
      </c>
      <c r="S3" s="37" t="s">
        <v>11</v>
      </c>
      <c r="T3" s="34" t="s">
        <v>19</v>
      </c>
      <c r="U3" s="35" t="s">
        <v>8</v>
      </c>
      <c r="V3" s="35" t="s">
        <v>7</v>
      </c>
      <c r="W3" s="35" t="s">
        <v>9</v>
      </c>
      <c r="X3" s="35" t="s">
        <v>10</v>
      </c>
      <c r="Y3" s="35" t="s">
        <v>13</v>
      </c>
      <c r="Z3" s="36" t="s">
        <v>12</v>
      </c>
      <c r="AA3" s="37" t="s">
        <v>11</v>
      </c>
      <c r="AF3" s="3"/>
      <c r="AG3" s="3"/>
    </row>
    <row r="4" spans="1:33">
      <c r="A4" s="22">
        <v>108912.4</v>
      </c>
      <c r="B4" s="23">
        <v>0</v>
      </c>
      <c r="C4" s="23">
        <f>A4*2+785.39+6207.8</f>
        <v>224817.99</v>
      </c>
      <c r="D4" s="32">
        <f t="shared" ref="D4:D25" si="0">((2.49*(10^(-3)/98066.5^0.24)*1683*C4*(0.95*338.917*2584)^0.5)/(957*0.647*0.96))^(1/(1-0.24))</f>
        <v>3381435.5229581464</v>
      </c>
      <c r="E4" s="33">
        <v>0</v>
      </c>
      <c r="F4" s="33" t="e">
        <f>1*0.95*E4*957*((0.293-(0.098/M4))/0.178)</f>
        <v>#DIV/0!</v>
      </c>
      <c r="G4" s="33">
        <v>0</v>
      </c>
      <c r="H4" s="33">
        <v>0</v>
      </c>
      <c r="I4" s="54">
        <f>2.49*((3.3814/0.098)^0.24)</f>
        <v>5.8248971377027319</v>
      </c>
      <c r="J4" s="54">
        <v>0</v>
      </c>
      <c r="K4" s="33"/>
      <c r="L4" s="38">
        <f t="shared" ref="L4:L25" si="1">((3.8*(10^(-3)/98066.5^0.17)*1683*C4*(0.95*338.917*2634)^0.5)/(957*0.647*0.96))^(1/(1-0.17))</f>
        <v>4223043.0432078931</v>
      </c>
      <c r="M4" s="39">
        <v>0</v>
      </c>
      <c r="N4" s="39" t="e">
        <f>1*0.95*M4*957*((0.293-(0.098/M4))/0.178)</f>
        <v>#DIV/0!</v>
      </c>
      <c r="O4" s="39">
        <v>0</v>
      </c>
      <c r="P4" s="39">
        <v>0</v>
      </c>
      <c r="Q4" s="40">
        <f>3.8*((4.22/0.098)^0.17)</f>
        <v>7.2040759106750514</v>
      </c>
      <c r="R4" s="40">
        <v>0</v>
      </c>
      <c r="S4" s="41"/>
      <c r="T4" s="50">
        <f>((3.69*(10^(-3)/98066.5^0.19)*1683*C4*(0.95*338.917*2661)^0.5)/(957*0.647*0.96))^(1/(1-0.19))</f>
        <v>4497364.8678243365</v>
      </c>
      <c r="U4" s="50">
        <v>0</v>
      </c>
      <c r="V4" s="42" t="e">
        <f>1*0.95*U4*957*((0.293-(0.098/U4))/0.178)</f>
        <v>#DIV/0!</v>
      </c>
      <c r="W4" s="42">
        <v>0</v>
      </c>
      <c r="X4" s="42">
        <v>0</v>
      </c>
      <c r="Y4" s="46">
        <f>3.69*((4.49736/0.098)^0.19)</f>
        <v>7.6340564292077566</v>
      </c>
      <c r="Z4" s="43">
        <v>0</v>
      </c>
      <c r="AA4" s="44"/>
      <c r="AF4" s="3"/>
      <c r="AG4" s="3"/>
    </row>
    <row r="5" spans="1:33">
      <c r="A5" s="22">
        <v>122439.3</v>
      </c>
      <c r="B5" s="23">
        <v>2.5</v>
      </c>
      <c r="C5" s="23">
        <f>A5*2</f>
        <v>244878.6</v>
      </c>
      <c r="D5" s="30">
        <f t="shared" si="0"/>
        <v>3783928.4637793428</v>
      </c>
      <c r="E5" s="10">
        <f t="shared" ref="E5:E25" si="2">D5*10^(-6)</f>
        <v>3.7839284637793424</v>
      </c>
      <c r="F5" s="10">
        <f>1*0.95*E5*957*((0.293-(0.098/E5))/0.178)</f>
        <v>5162.1896568178745</v>
      </c>
      <c r="G5" s="10">
        <f>F5*10^(-3)</f>
        <v>5.1621896568178745</v>
      </c>
      <c r="H5" s="10">
        <f>G5*101.972</f>
        <v>526.39880368503225</v>
      </c>
      <c r="I5" s="55">
        <f t="shared" ref="I5:I25" si="3">2.49*((E5/0.098)^0.24)</f>
        <v>5.9842728822516937</v>
      </c>
      <c r="J5" s="55">
        <f>J4+2.5/I4</f>
        <v>0.42919212835850512</v>
      </c>
      <c r="K5" s="52">
        <f>(F5+0)/2*J5</f>
        <v>1107.7855828999623</v>
      </c>
      <c r="L5" s="20">
        <f t="shared" si="1"/>
        <v>4681102.2337618414</v>
      </c>
      <c r="M5" s="27">
        <f t="shared" ref="M5:M26" si="4">L5*10^(-6)</f>
        <v>4.6811022337618411</v>
      </c>
      <c r="N5" s="27">
        <f t="shared" ref="N5:N25" si="5">1*0.95*M5*957*((0.293-(0.098/M5))/0.178)</f>
        <v>6504.830112789894</v>
      </c>
      <c r="O5" s="27">
        <f t="shared" ref="O5:O25" si="6">N5*10^-3</f>
        <v>6.504830112789894</v>
      </c>
      <c r="P5" s="27">
        <f t="shared" ref="P5:P26" si="7">O5*101.972</f>
        <v>663.31053626141102</v>
      </c>
      <c r="Q5" s="25">
        <f t="shared" ref="Q5:Q26" si="8">3.8*((M5/0.098)^0.17)</f>
        <v>7.332200717622575</v>
      </c>
      <c r="R5" s="25">
        <f>R4+2.5/Q4</f>
        <v>0.34702577138248669</v>
      </c>
      <c r="S5" s="29">
        <f>((N5+0)/2)*R5</f>
        <v>1128.6718438014705</v>
      </c>
      <c r="T5" s="50">
        <f t="shared" ref="T5:T26" si="9">((3.69*(10^(-3)/98066.5^0.19)*1683*C5*(0.95*338.917*2661)^0.5)/(957*0.647*0.96))^(1/(1-0.19))</f>
        <v>4997870.5500030424</v>
      </c>
      <c r="U5" s="50">
        <f t="shared" ref="U5:U26" si="10">T5*10^(-6)</f>
        <v>4.997870550003042</v>
      </c>
      <c r="V5" s="45">
        <f t="shared" ref="V5:V25" si="11">1*0.95*U5*957*((0.293-(0.098/U5))/0.178)</f>
        <v>6978.8809274541172</v>
      </c>
      <c r="W5" s="45">
        <f t="shared" ref="W5:W25" si="12">V5*10^-3</f>
        <v>6.9788809274541173</v>
      </c>
      <c r="X5" s="45">
        <f t="shared" ref="X5:X26" si="13">W5*101.972</f>
        <v>711.65044593435118</v>
      </c>
      <c r="Y5" s="46">
        <f t="shared" ref="Y5:Y26" si="14">3.69*((U5/0.098)^0.19)</f>
        <v>7.7886567089496923</v>
      </c>
      <c r="Z5" s="46">
        <f>Z4+2.5/Y4</f>
        <v>0.32747989528018773</v>
      </c>
      <c r="AA5" s="47">
        <f>((V5+0)/2)*Z5</f>
        <v>1142.7215976477869</v>
      </c>
      <c r="AF5" s="3"/>
      <c r="AG5" s="3"/>
    </row>
    <row r="6" spans="1:33">
      <c r="A6" s="22">
        <v>129087</v>
      </c>
      <c r="B6" s="23">
        <v>5</v>
      </c>
      <c r="C6" s="23">
        <f t="shared" ref="C6:C26" si="15">A6*2</f>
        <v>258174</v>
      </c>
      <c r="D6" s="30">
        <f t="shared" si="0"/>
        <v>4056538.8611012474</v>
      </c>
      <c r="E6" s="10">
        <f t="shared" si="2"/>
        <v>4.056538861101247</v>
      </c>
      <c r="F6" s="10">
        <f t="shared" ref="F6:F25" si="16">1*0.95*E6*957*((0.293-(0.098/E6))/0.178)</f>
        <v>5570.1571659104957</v>
      </c>
      <c r="G6" s="10">
        <f t="shared" ref="G6:G26" si="17">F6*10^(-3)</f>
        <v>5.570157165910496</v>
      </c>
      <c r="H6" s="10">
        <f t="shared" ref="H6:H26" si="18">G6*101.972</f>
        <v>568.0000665222251</v>
      </c>
      <c r="I6" s="55">
        <f t="shared" si="3"/>
        <v>6.0850260631794644</v>
      </c>
      <c r="J6" s="55">
        <f t="shared" ref="J6:J26" si="19">J5+2.5/I5</f>
        <v>0.84695382626077875</v>
      </c>
      <c r="K6" s="52">
        <f>(F6+F5)/2*(J6-J5)</f>
        <v>2241.7817155695379</v>
      </c>
      <c r="L6" s="20">
        <f t="shared" si="1"/>
        <v>4988991.7817279603</v>
      </c>
      <c r="M6" s="27">
        <f t="shared" si="4"/>
        <v>4.9889917817279601</v>
      </c>
      <c r="N6" s="27">
        <f t="shared" si="5"/>
        <v>6965.5936537016096</v>
      </c>
      <c r="O6" s="27">
        <f t="shared" si="6"/>
        <v>6.9655936537016094</v>
      </c>
      <c r="P6" s="27">
        <f t="shared" si="7"/>
        <v>710.29551605526046</v>
      </c>
      <c r="Q6" s="25">
        <f t="shared" si="8"/>
        <v>7.4120328903341068</v>
      </c>
      <c r="R6" s="25">
        <f t="shared" ref="R6:R26" si="20">R5+2.5/Q5</f>
        <v>0.68798752301475941</v>
      </c>
      <c r="S6" s="29">
        <f>((N6+N5)/2)*(R6-R5)</f>
        <v>2296.4496413259699</v>
      </c>
      <c r="T6" s="50">
        <f t="shared" si="9"/>
        <v>5334979.362904802</v>
      </c>
      <c r="U6" s="50">
        <f t="shared" si="10"/>
        <v>5.3349793629048019</v>
      </c>
      <c r="V6" s="45">
        <f t="shared" si="11"/>
        <v>7483.371746747056</v>
      </c>
      <c r="W6" s="45">
        <f t="shared" si="12"/>
        <v>7.4833717467470562</v>
      </c>
      <c r="X6" s="45">
        <f t="shared" si="13"/>
        <v>763.09438375929074</v>
      </c>
      <c r="Y6" s="46">
        <f t="shared" si="14"/>
        <v>7.8858522003260054</v>
      </c>
      <c r="Z6" s="46">
        <f t="shared" ref="Z6:Z26" si="21">Z5+2.5/Y5</f>
        <v>0.64845950619657744</v>
      </c>
      <c r="AA6" s="47">
        <f>((V6+V5)/2)*(Z6-Z5)</f>
        <v>2321.0441181698043</v>
      </c>
      <c r="AF6" s="3"/>
      <c r="AG6" s="3"/>
    </row>
    <row r="7" spans="1:33">
      <c r="A7" s="22">
        <v>142492.4</v>
      </c>
      <c r="B7" s="23">
        <v>7.5</v>
      </c>
      <c r="C7" s="23">
        <f t="shared" si="15"/>
        <v>284984.8</v>
      </c>
      <c r="D7" s="30">
        <f t="shared" si="0"/>
        <v>4619714.1714810524</v>
      </c>
      <c r="E7" s="10">
        <f t="shared" si="2"/>
        <v>4.6197141714810526</v>
      </c>
      <c r="F7" s="10">
        <f t="shared" si="16"/>
        <v>6412.9615153235154</v>
      </c>
      <c r="G7" s="10">
        <f t="shared" si="17"/>
        <v>6.4129615153235155</v>
      </c>
      <c r="H7" s="10">
        <f t="shared" si="18"/>
        <v>653.94251164056948</v>
      </c>
      <c r="I7" s="55">
        <f t="shared" si="3"/>
        <v>6.2778757260856528</v>
      </c>
      <c r="J7" s="55">
        <f t="shared" si="19"/>
        <v>1.2577984100050486</v>
      </c>
      <c r="K7" s="52">
        <f t="shared" ref="K7:K26" si="22">(F7+F6)/2*(J7-J6)</f>
        <v>2461.5997032748851</v>
      </c>
      <c r="L7" s="20">
        <f t="shared" si="1"/>
        <v>5619667.3924477771</v>
      </c>
      <c r="M7" s="27">
        <f t="shared" si="4"/>
        <v>5.6196673924477771</v>
      </c>
      <c r="N7" s="27">
        <f t="shared" si="5"/>
        <v>7909.4137004733811</v>
      </c>
      <c r="O7" s="27">
        <f t="shared" si="6"/>
        <v>7.9094137004733813</v>
      </c>
      <c r="P7" s="27">
        <f t="shared" si="7"/>
        <v>806.5387338646716</v>
      </c>
      <c r="Q7" s="25">
        <f t="shared" si="8"/>
        <v>7.5635549736000875</v>
      </c>
      <c r="R7" s="25">
        <f t="shared" si="20"/>
        <v>1.0252769059666622</v>
      </c>
      <c r="S7" s="29">
        <f t="shared" ref="S7:S26" si="23">((N7+N6)/2)*(R7-R6)</f>
        <v>2508.5910259473499</v>
      </c>
      <c r="T7" s="50">
        <f t="shared" si="9"/>
        <v>6027081.3972222041</v>
      </c>
      <c r="U7" s="50">
        <f t="shared" si="10"/>
        <v>6.0270813972222035</v>
      </c>
      <c r="V7" s="45">
        <f t="shared" si="11"/>
        <v>8519.1177995470662</v>
      </c>
      <c r="W7" s="45">
        <f t="shared" si="12"/>
        <v>8.5191177995470664</v>
      </c>
      <c r="X7" s="45">
        <f t="shared" si="13"/>
        <v>868.71148025541345</v>
      </c>
      <c r="Y7" s="46">
        <f t="shared" si="14"/>
        <v>8.070747356947356</v>
      </c>
      <c r="Z7" s="46">
        <f t="shared" si="21"/>
        <v>0.9654829472264066</v>
      </c>
      <c r="AA7" s="47">
        <f t="shared" ref="AA7:AA26" si="24">((V7+V6)/2)*(Z7-Z6)</f>
        <v>2536.5821505050162</v>
      </c>
      <c r="AF7" s="3"/>
      <c r="AG7" s="3"/>
    </row>
    <row r="8" spans="1:33">
      <c r="A8" s="22">
        <v>152191.1</v>
      </c>
      <c r="B8" s="23">
        <v>10</v>
      </c>
      <c r="C8" s="23">
        <f t="shared" si="15"/>
        <v>304382.2</v>
      </c>
      <c r="D8" s="30">
        <f t="shared" si="0"/>
        <v>5037829.5252789771</v>
      </c>
      <c r="E8" s="10">
        <f t="shared" si="2"/>
        <v>5.0378295252789771</v>
      </c>
      <c r="F8" s="10">
        <f t="shared" si="16"/>
        <v>7038.6804206846227</v>
      </c>
      <c r="G8" s="10">
        <f t="shared" si="17"/>
        <v>7.0386804206846225</v>
      </c>
      <c r="H8" s="10">
        <f t="shared" si="18"/>
        <v>717.74831985805224</v>
      </c>
      <c r="I8" s="55">
        <f t="shared" si="3"/>
        <v>6.4097858654645137</v>
      </c>
      <c r="J8" s="55">
        <f t="shared" si="19"/>
        <v>1.6560222852582764</v>
      </c>
      <c r="K8" s="52">
        <f t="shared" si="22"/>
        <v>2678.3824901379967</v>
      </c>
      <c r="L8" s="20">
        <f t="shared" si="1"/>
        <v>6083667.8824597029</v>
      </c>
      <c r="M8" s="27">
        <f t="shared" si="4"/>
        <v>6.0836678824597028</v>
      </c>
      <c r="N8" s="27">
        <f t="shared" si="5"/>
        <v>8603.8007304163129</v>
      </c>
      <c r="O8" s="27">
        <f t="shared" si="6"/>
        <v>8.6038007304163138</v>
      </c>
      <c r="P8" s="27">
        <f t="shared" si="7"/>
        <v>877.34676808201232</v>
      </c>
      <c r="Q8" s="25">
        <f t="shared" si="8"/>
        <v>7.6662556588102762</v>
      </c>
      <c r="R8" s="25">
        <f t="shared" si="20"/>
        <v>1.3558093088811682</v>
      </c>
      <c r="S8" s="29">
        <f t="shared" si="23"/>
        <v>2729.0762228422336</v>
      </c>
      <c r="T8" s="50">
        <f t="shared" si="9"/>
        <v>6537514.7209949316</v>
      </c>
      <c r="U8" s="50">
        <f t="shared" si="10"/>
        <v>6.5375147209949311</v>
      </c>
      <c r="V8" s="45">
        <f t="shared" si="11"/>
        <v>9282.9925956045754</v>
      </c>
      <c r="W8" s="45">
        <f t="shared" si="12"/>
        <v>9.2829925956045756</v>
      </c>
      <c r="X8" s="45">
        <f t="shared" si="13"/>
        <v>946.60532095898975</v>
      </c>
      <c r="Y8" s="46">
        <f t="shared" si="14"/>
        <v>8.1963750178421666</v>
      </c>
      <c r="Z8" s="46">
        <f t="shared" si="21"/>
        <v>1.2752436037594082</v>
      </c>
      <c r="AA8" s="47">
        <f t="shared" si="24"/>
        <v>2757.1967018375722</v>
      </c>
      <c r="AF8" s="3"/>
      <c r="AG8" s="3"/>
    </row>
    <row r="9" spans="1:33">
      <c r="A9" s="22">
        <v>160549.6</v>
      </c>
      <c r="B9" s="23">
        <v>12.5</v>
      </c>
      <c r="C9" s="23">
        <f t="shared" si="15"/>
        <v>321099.2</v>
      </c>
      <c r="D9" s="30">
        <f t="shared" si="0"/>
        <v>5405004.5254158024</v>
      </c>
      <c r="E9" s="10">
        <f t="shared" si="2"/>
        <v>5.4050045254158023</v>
      </c>
      <c r="F9" s="10">
        <f t="shared" si="16"/>
        <v>7588.1659563739349</v>
      </c>
      <c r="G9" s="10">
        <f t="shared" si="17"/>
        <v>7.5881659563739348</v>
      </c>
      <c r="H9" s="10">
        <f t="shared" si="18"/>
        <v>773.78045890336284</v>
      </c>
      <c r="I9" s="55">
        <f t="shared" si="3"/>
        <v>6.5189273905719149</v>
      </c>
      <c r="J9" s="55">
        <f t="shared" si="19"/>
        <v>2.0460509153050035</v>
      </c>
      <c r="K9" s="52">
        <f t="shared" si="22"/>
        <v>2852.4444271740413</v>
      </c>
      <c r="L9" s="20">
        <f t="shared" si="1"/>
        <v>6488456.0444211271</v>
      </c>
      <c r="M9" s="27">
        <f t="shared" si="4"/>
        <v>6.4884560444211266</v>
      </c>
      <c r="N9" s="27">
        <f t="shared" si="5"/>
        <v>9209.5751974502327</v>
      </c>
      <c r="O9" s="27">
        <f t="shared" si="6"/>
        <v>9.2095751974502331</v>
      </c>
      <c r="P9" s="27">
        <f t="shared" si="7"/>
        <v>939.11880203439512</v>
      </c>
      <c r="Q9" s="25">
        <f t="shared" si="8"/>
        <v>7.7506691036984172</v>
      </c>
      <c r="R9" s="25">
        <f t="shared" si="20"/>
        <v>1.6819137477706971</v>
      </c>
      <c r="S9" s="29">
        <f t="shared" si="23"/>
        <v>2904.5104808425804</v>
      </c>
      <c r="T9" s="50">
        <f t="shared" si="9"/>
        <v>6983599.2833544714</v>
      </c>
      <c r="U9" s="50">
        <f t="shared" si="10"/>
        <v>6.9835992833544713</v>
      </c>
      <c r="V9" s="45">
        <f t="shared" si="11"/>
        <v>9950.5680422431633</v>
      </c>
      <c r="W9" s="45">
        <f t="shared" si="12"/>
        <v>9.9505680422431642</v>
      </c>
      <c r="X9" s="45">
        <f t="shared" si="13"/>
        <v>1014.6793244036198</v>
      </c>
      <c r="Y9" s="46">
        <f t="shared" si="14"/>
        <v>8.2998163147824133</v>
      </c>
      <c r="Z9" s="46">
        <f t="shared" si="21"/>
        <v>1.5802564898899121</v>
      </c>
      <c r="AA9" s="47">
        <f t="shared" si="24"/>
        <v>2933.2419203579975</v>
      </c>
      <c r="AF9" s="3"/>
      <c r="AG9" s="3"/>
    </row>
    <row r="10" spans="1:33">
      <c r="A10" s="22">
        <v>170059.3</v>
      </c>
      <c r="B10" s="23">
        <v>15</v>
      </c>
      <c r="C10" s="23">
        <f t="shared" si="15"/>
        <v>340118.6</v>
      </c>
      <c r="D10" s="30">
        <f t="shared" si="0"/>
        <v>5830142.4496048447</v>
      </c>
      <c r="E10" s="10">
        <f t="shared" si="2"/>
        <v>5.8301424496048444</v>
      </c>
      <c r="F10" s="10">
        <f t="shared" si="16"/>
        <v>8224.3942941632886</v>
      </c>
      <c r="G10" s="10">
        <f t="shared" si="17"/>
        <v>8.2243942941632895</v>
      </c>
      <c r="H10" s="10">
        <f t="shared" si="18"/>
        <v>838.65793496441893</v>
      </c>
      <c r="I10" s="55">
        <f t="shared" si="3"/>
        <v>6.6384714037110291</v>
      </c>
      <c r="J10" s="55">
        <f t="shared" si="19"/>
        <v>2.4295495877423829</v>
      </c>
      <c r="K10" s="52">
        <f t="shared" si="22"/>
        <v>3032.0479319585506</v>
      </c>
      <c r="L10" s="20">
        <f t="shared" si="1"/>
        <v>6954264.3806706956</v>
      </c>
      <c r="M10" s="27">
        <f t="shared" si="4"/>
        <v>6.9542643806706952</v>
      </c>
      <c r="N10" s="27">
        <f t="shared" si="5"/>
        <v>9906.6677094057359</v>
      </c>
      <c r="O10" s="27">
        <f t="shared" si="6"/>
        <v>9.9066677094057365</v>
      </c>
      <c r="P10" s="27">
        <f t="shared" si="7"/>
        <v>1010.2027196635217</v>
      </c>
      <c r="Q10" s="25">
        <f t="shared" si="8"/>
        <v>7.8425603124672074</v>
      </c>
      <c r="R10" s="25">
        <f t="shared" si="20"/>
        <v>2.0044665450262356</v>
      </c>
      <c r="S10" s="29">
        <f t="shared" si="23"/>
        <v>3082.9988113113691</v>
      </c>
      <c r="T10" s="50">
        <f t="shared" si="9"/>
        <v>7497778.2997963056</v>
      </c>
      <c r="U10" s="50">
        <f t="shared" si="10"/>
        <v>7.4977782997963054</v>
      </c>
      <c r="V10" s="45">
        <f t="shared" si="11"/>
        <v>10720.048350500698</v>
      </c>
      <c r="W10" s="45">
        <f t="shared" si="12"/>
        <v>10.720048350500697</v>
      </c>
      <c r="X10" s="45">
        <f t="shared" si="13"/>
        <v>1093.1447703972569</v>
      </c>
      <c r="Y10" s="46">
        <f t="shared" si="14"/>
        <v>8.4126070719029951</v>
      </c>
      <c r="Z10" s="46">
        <f t="shared" si="21"/>
        <v>1.88146797520283</v>
      </c>
      <c r="AA10" s="47">
        <f t="shared" si="24"/>
        <v>3113.1135329959643</v>
      </c>
      <c r="AF10" s="3"/>
      <c r="AG10" s="3"/>
    </row>
    <row r="11" spans="1:33">
      <c r="A11" s="22">
        <v>179736.9</v>
      </c>
      <c r="B11" s="23">
        <v>17.5</v>
      </c>
      <c r="C11" s="23">
        <f t="shared" si="15"/>
        <v>359473.8</v>
      </c>
      <c r="D11" s="30">
        <f t="shared" si="0"/>
        <v>6270564.1230048174</v>
      </c>
      <c r="E11" s="10">
        <f t="shared" si="2"/>
        <v>6.2705641230048172</v>
      </c>
      <c r="F11" s="10">
        <f t="shared" si="16"/>
        <v>8883.4951018086522</v>
      </c>
      <c r="G11" s="10">
        <f t="shared" si="17"/>
        <v>8.8834951018086521</v>
      </c>
      <c r="H11" s="10">
        <f t="shared" si="18"/>
        <v>905.86776252163179</v>
      </c>
      <c r="I11" s="55">
        <f t="shared" si="3"/>
        <v>6.7555183209544003</v>
      </c>
      <c r="J11" s="55">
        <f t="shared" si="19"/>
        <v>2.8061423073558851</v>
      </c>
      <c r="K11" s="52">
        <f t="shared" si="22"/>
        <v>3221.3532972380344</v>
      </c>
      <c r="L11" s="20">
        <f t="shared" si="1"/>
        <v>7433806.7916812077</v>
      </c>
      <c r="M11" s="27">
        <f t="shared" si="4"/>
        <v>7.4338067916812074</v>
      </c>
      <c r="N11" s="27">
        <f t="shared" si="5"/>
        <v>10624.313569014001</v>
      </c>
      <c r="O11" s="27">
        <f t="shared" si="6"/>
        <v>10.624313569014001</v>
      </c>
      <c r="P11" s="27">
        <f t="shared" si="7"/>
        <v>1083.3825032594957</v>
      </c>
      <c r="Q11" s="25">
        <f t="shared" si="8"/>
        <v>7.9319703028044204</v>
      </c>
      <c r="R11" s="25">
        <f t="shared" si="20"/>
        <v>2.3232399940522872</v>
      </c>
      <c r="S11" s="29">
        <f t="shared" si="23"/>
        <v>3272.3658570055768</v>
      </c>
      <c r="T11" s="50">
        <f t="shared" si="9"/>
        <v>8028006.7753038378</v>
      </c>
      <c r="U11" s="50">
        <f t="shared" si="10"/>
        <v>8.0280067753038367</v>
      </c>
      <c r="V11" s="45">
        <f t="shared" si="11"/>
        <v>11513.547030403775</v>
      </c>
      <c r="W11" s="45">
        <f t="shared" si="12"/>
        <v>11.513547030403776</v>
      </c>
      <c r="X11" s="45">
        <f t="shared" si="13"/>
        <v>1174.0594177843338</v>
      </c>
      <c r="Y11" s="46">
        <f t="shared" si="14"/>
        <v>8.5225367091400823</v>
      </c>
      <c r="Z11" s="46">
        <f t="shared" si="21"/>
        <v>2.1786410130771023</v>
      </c>
      <c r="AA11" s="47">
        <f t="shared" si="24"/>
        <v>3303.6125411053854</v>
      </c>
      <c r="AF11" s="3"/>
      <c r="AG11" s="3"/>
    </row>
    <row r="12" spans="1:33">
      <c r="A12" s="22">
        <v>188730.4</v>
      </c>
      <c r="B12" s="23">
        <v>20</v>
      </c>
      <c r="C12" s="23">
        <f t="shared" si="15"/>
        <v>377460.8</v>
      </c>
      <c r="D12" s="30">
        <f t="shared" si="0"/>
        <v>6686631.9699358037</v>
      </c>
      <c r="E12" s="10">
        <f t="shared" si="2"/>
        <v>6.686631969935803</v>
      </c>
      <c r="F12" s="10">
        <f t="shared" si="16"/>
        <v>9506.1498677071377</v>
      </c>
      <c r="G12" s="10">
        <f t="shared" si="17"/>
        <v>9.506149867707137</v>
      </c>
      <c r="H12" s="10">
        <f t="shared" si="18"/>
        <v>969.36111430983215</v>
      </c>
      <c r="I12" s="55">
        <f t="shared" si="3"/>
        <v>6.8604858011847023</v>
      </c>
      <c r="J12" s="55">
        <f t="shared" si="19"/>
        <v>3.1762101365327302</v>
      </c>
      <c r="K12" s="52">
        <f t="shared" si="22"/>
        <v>3402.7079966007991</v>
      </c>
      <c r="L12" s="20">
        <f t="shared" si="1"/>
        <v>7884224.7584287087</v>
      </c>
      <c r="M12" s="27">
        <f t="shared" si="4"/>
        <v>7.884224758428708</v>
      </c>
      <c r="N12" s="27">
        <f t="shared" si="5"/>
        <v>11298.374051481796</v>
      </c>
      <c r="O12" s="27">
        <f t="shared" si="6"/>
        <v>11.298374051481797</v>
      </c>
      <c r="P12" s="27">
        <f t="shared" si="7"/>
        <v>1152.1177987777019</v>
      </c>
      <c r="Q12" s="25">
        <f t="shared" si="8"/>
        <v>8.0116910430572101</v>
      </c>
      <c r="R12" s="25">
        <f t="shared" si="20"/>
        <v>2.6384201957628384</v>
      </c>
      <c r="S12" s="29">
        <f t="shared" si="23"/>
        <v>3454.798553132634</v>
      </c>
      <c r="T12" s="50">
        <f t="shared" si="9"/>
        <v>8526803.7084940933</v>
      </c>
      <c r="U12" s="50">
        <f t="shared" si="10"/>
        <v>8.5268037084940929</v>
      </c>
      <c r="V12" s="45">
        <f t="shared" si="11"/>
        <v>12260.007709731344</v>
      </c>
      <c r="W12" s="45">
        <f t="shared" si="12"/>
        <v>12.260007709731344</v>
      </c>
      <c r="X12" s="45">
        <f t="shared" si="13"/>
        <v>1250.1775061767246</v>
      </c>
      <c r="Y12" s="46">
        <f t="shared" si="14"/>
        <v>8.6207053650200081</v>
      </c>
      <c r="Z12" s="46">
        <f t="shared" si="21"/>
        <v>2.4719809053322859</v>
      </c>
      <c r="AA12" s="47">
        <f t="shared" si="24"/>
        <v>3486.8659929969722</v>
      </c>
      <c r="AF12" s="3"/>
      <c r="AG12" s="3"/>
    </row>
    <row r="13" spans="1:33">
      <c r="A13" s="22">
        <v>197021.9</v>
      </c>
      <c r="B13" s="23">
        <v>22.5</v>
      </c>
      <c r="C13" s="23">
        <f t="shared" si="15"/>
        <v>394043.8</v>
      </c>
      <c r="D13" s="30">
        <f t="shared" si="0"/>
        <v>7075818.541466522</v>
      </c>
      <c r="E13" s="10">
        <f t="shared" si="2"/>
        <v>7.0758185414665213</v>
      </c>
      <c r="F13" s="10">
        <f t="shared" si="16"/>
        <v>10088.576208446437</v>
      </c>
      <c r="G13" s="10">
        <f t="shared" si="17"/>
        <v>10.088576208446437</v>
      </c>
      <c r="H13" s="10">
        <f t="shared" si="18"/>
        <v>1028.7522931276999</v>
      </c>
      <c r="I13" s="55">
        <f t="shared" si="3"/>
        <v>6.9542691290709433</v>
      </c>
      <c r="J13" s="55">
        <f t="shared" si="19"/>
        <v>3.5406158174785736</v>
      </c>
      <c r="K13" s="52">
        <f t="shared" si="22"/>
        <v>3570.2147493640082</v>
      </c>
      <c r="L13" s="20">
        <f t="shared" si="1"/>
        <v>8303403.7543824548</v>
      </c>
      <c r="M13" s="27">
        <f t="shared" si="4"/>
        <v>8.3034037543824546</v>
      </c>
      <c r="N13" s="27">
        <f t="shared" si="5"/>
        <v>11925.684720932388</v>
      </c>
      <c r="O13" s="27">
        <f t="shared" si="6"/>
        <v>11.925684720932388</v>
      </c>
      <c r="P13" s="27">
        <f t="shared" si="7"/>
        <v>1216.0859223629175</v>
      </c>
      <c r="Q13" s="25">
        <f t="shared" si="8"/>
        <v>8.0825557762686628</v>
      </c>
      <c r="R13" s="25">
        <f t="shared" si="20"/>
        <v>2.9504641808047296</v>
      </c>
      <c r="S13" s="29">
        <f t="shared" si="23"/>
        <v>3623.4639240956071</v>
      </c>
      <c r="T13" s="50">
        <f t="shared" si="9"/>
        <v>8991639.9978987817</v>
      </c>
      <c r="U13" s="50">
        <f t="shared" si="10"/>
        <v>8.9916399978987815</v>
      </c>
      <c r="V13" s="45">
        <f t="shared" si="11"/>
        <v>12955.645532012784</v>
      </c>
      <c r="W13" s="45">
        <f t="shared" si="12"/>
        <v>12.955645532012785</v>
      </c>
      <c r="X13" s="45">
        <f t="shared" si="13"/>
        <v>1321.1130861904076</v>
      </c>
      <c r="Y13" s="46">
        <f t="shared" si="14"/>
        <v>8.708087911882247</v>
      </c>
      <c r="Z13" s="46">
        <f t="shared" si="21"/>
        <v>2.7619803768539759</v>
      </c>
      <c r="AA13" s="47">
        <f t="shared" si="24"/>
        <v>3656.2630570899933</v>
      </c>
      <c r="AF13" s="3"/>
      <c r="AG13" s="3"/>
    </row>
    <row r="14" spans="1:33">
      <c r="A14" s="23">
        <v>204713.5</v>
      </c>
      <c r="B14" s="23">
        <v>25</v>
      </c>
      <c r="C14" s="23">
        <f>A14*2</f>
        <v>409427</v>
      </c>
      <c r="D14" s="30">
        <f t="shared" si="0"/>
        <v>7441506.6115065347</v>
      </c>
      <c r="E14" s="10">
        <f t="shared" si="2"/>
        <v>7.4415066115065347</v>
      </c>
      <c r="F14" s="10">
        <f t="shared" si="16"/>
        <v>10635.836520249393</v>
      </c>
      <c r="G14" s="10">
        <f t="shared" si="17"/>
        <v>10.635836520249393</v>
      </c>
      <c r="H14" s="10">
        <f t="shared" si="18"/>
        <v>1084.5575216428711</v>
      </c>
      <c r="I14" s="55">
        <f t="shared" si="3"/>
        <v>7.0388822180967932</v>
      </c>
      <c r="J14" s="55">
        <f t="shared" si="19"/>
        <v>3.9001072253605673</v>
      </c>
      <c r="K14" s="52">
        <f t="shared" si="22"/>
        <v>3725.124154683188</v>
      </c>
      <c r="L14" s="20">
        <f t="shared" si="1"/>
        <v>8695502.5526639782</v>
      </c>
      <c r="M14" s="27">
        <f t="shared" si="4"/>
        <v>8.695502552663978</v>
      </c>
      <c r="N14" s="27">
        <f t="shared" si="5"/>
        <v>12512.469273629522</v>
      </c>
      <c r="O14" s="27">
        <f t="shared" si="6"/>
        <v>12.512469273629522</v>
      </c>
      <c r="P14" s="27">
        <f t="shared" si="7"/>
        <v>1275.9215167705495</v>
      </c>
      <c r="Q14" s="25">
        <f t="shared" si="8"/>
        <v>8.1462036040245067</v>
      </c>
      <c r="R14" s="25">
        <f t="shared" si="20"/>
        <v>3.2597722844791015</v>
      </c>
      <c r="S14" s="29">
        <f t="shared" si="23"/>
        <v>3779.4595346801102</v>
      </c>
      <c r="T14" s="50">
        <f t="shared" si="9"/>
        <v>9426972.0603305623</v>
      </c>
      <c r="U14" s="50">
        <f t="shared" si="10"/>
        <v>9.4269720603305611</v>
      </c>
      <c r="V14" s="45">
        <f t="shared" si="11"/>
        <v>13607.129623900631</v>
      </c>
      <c r="W14" s="45">
        <f t="shared" si="12"/>
        <v>13.607129623900631</v>
      </c>
      <c r="X14" s="45">
        <f t="shared" si="13"/>
        <v>1387.546222008395</v>
      </c>
      <c r="Y14" s="46">
        <f t="shared" si="14"/>
        <v>8.78666630977634</v>
      </c>
      <c r="Z14" s="46">
        <f t="shared" si="21"/>
        <v>3.0490698074267577</v>
      </c>
      <c r="AA14" s="47">
        <f t="shared" si="24"/>
        <v>3812.9459969720087</v>
      </c>
      <c r="AF14" s="3"/>
      <c r="AG14" s="3"/>
    </row>
    <row r="15" spans="1:33">
      <c r="A15" s="23">
        <v>213098.4</v>
      </c>
      <c r="B15" s="23">
        <v>27.5</v>
      </c>
      <c r="C15" s="23">
        <f>A15*2</f>
        <v>426196.8</v>
      </c>
      <c r="D15" s="30">
        <f t="shared" si="0"/>
        <v>7845126.6298215007</v>
      </c>
      <c r="E15" s="10">
        <f t="shared" si="2"/>
        <v>7.8451266298215003</v>
      </c>
      <c r="F15" s="10">
        <f t="shared" si="16"/>
        <v>11239.862834394098</v>
      </c>
      <c r="G15" s="10">
        <f t="shared" si="17"/>
        <v>11.239862834394099</v>
      </c>
      <c r="H15" s="10">
        <f t="shared" si="18"/>
        <v>1146.1512929488349</v>
      </c>
      <c r="I15" s="55">
        <f t="shared" si="3"/>
        <v>7.1286793235588783</v>
      </c>
      <c r="J15" s="55">
        <f t="shared" si="19"/>
        <v>4.2552772541433423</v>
      </c>
      <c r="K15" s="52">
        <f t="shared" si="22"/>
        <v>3884.7963847160308</v>
      </c>
      <c r="L15" s="20">
        <f t="shared" si="1"/>
        <v>9126392.682239227</v>
      </c>
      <c r="M15" s="27">
        <f t="shared" si="4"/>
        <v>9.1263926822392261</v>
      </c>
      <c r="N15" s="27">
        <f t="shared" si="5"/>
        <v>13157.305914426592</v>
      </c>
      <c r="O15" s="27">
        <f t="shared" si="6"/>
        <v>13.157305914426592</v>
      </c>
      <c r="P15" s="27">
        <f t="shared" si="7"/>
        <v>1341.6767987059084</v>
      </c>
      <c r="Q15" s="25">
        <f t="shared" si="8"/>
        <v>8.2134575985479383</v>
      </c>
      <c r="R15" s="25">
        <f t="shared" si="20"/>
        <v>3.56666370550434</v>
      </c>
      <c r="S15" s="29">
        <f t="shared" si="23"/>
        <v>3938.916892430474</v>
      </c>
      <c r="T15" s="50">
        <f t="shared" si="9"/>
        <v>9905931.3297211491</v>
      </c>
      <c r="U15" s="50">
        <f t="shared" si="10"/>
        <v>9.9059313297211489</v>
      </c>
      <c r="V15" s="45">
        <f t="shared" si="11"/>
        <v>14323.902799134172</v>
      </c>
      <c r="W15" s="45">
        <f t="shared" si="12"/>
        <v>14.323902799134173</v>
      </c>
      <c r="X15" s="45">
        <f t="shared" si="13"/>
        <v>1460.6370162333099</v>
      </c>
      <c r="Y15" s="46">
        <f t="shared" si="14"/>
        <v>8.869793749715484</v>
      </c>
      <c r="Z15" s="46">
        <f t="shared" si="21"/>
        <v>3.333591822018164</v>
      </c>
      <c r="AA15" s="47">
        <f t="shared" si="24"/>
        <v>3973.4968073098748</v>
      </c>
      <c r="AF15" s="3"/>
      <c r="AG15" s="3"/>
    </row>
    <row r="16" spans="1:33">
      <c r="A16" s="23">
        <v>221700.2</v>
      </c>
      <c r="B16" s="23">
        <v>30</v>
      </c>
      <c r="C16" s="23">
        <f>A16*2</f>
        <v>443400.4</v>
      </c>
      <c r="D16" s="30">
        <f t="shared" si="0"/>
        <v>8264431.3987376057</v>
      </c>
      <c r="E16" s="10">
        <f t="shared" si="2"/>
        <v>8.2644313987376048</v>
      </c>
      <c r="F16" s="10">
        <f t="shared" si="16"/>
        <v>11867.361725873887</v>
      </c>
      <c r="G16" s="10">
        <f t="shared" si="17"/>
        <v>11.867361725873888</v>
      </c>
      <c r="H16" s="10">
        <f t="shared" si="18"/>
        <v>1210.138609910812</v>
      </c>
      <c r="I16" s="55">
        <f t="shared" si="3"/>
        <v>7.2183212093082325</v>
      </c>
      <c r="J16" s="55">
        <f t="shared" si="19"/>
        <v>4.6059733489638788</v>
      </c>
      <c r="K16" s="52">
        <f t="shared" si="22"/>
        <v>4051.8067077135843</v>
      </c>
      <c r="L16" s="20">
        <f t="shared" si="1"/>
        <v>9572052.0174170192</v>
      </c>
      <c r="M16" s="27">
        <f t="shared" si="4"/>
        <v>9.5720520174170183</v>
      </c>
      <c r="N16" s="27">
        <f t="shared" si="5"/>
        <v>13824.244999151468</v>
      </c>
      <c r="O16" s="27">
        <f t="shared" si="6"/>
        <v>13.824244999151468</v>
      </c>
      <c r="P16" s="27">
        <f t="shared" si="7"/>
        <v>1409.6859110534733</v>
      </c>
      <c r="Q16" s="25">
        <f t="shared" si="8"/>
        <v>8.280299055234817</v>
      </c>
      <c r="R16" s="25">
        <f t="shared" si="20"/>
        <v>3.8710422172339163</v>
      </c>
      <c r="S16" s="29">
        <f t="shared" si="23"/>
        <v>4106.3021556153399</v>
      </c>
      <c r="T16" s="50">
        <f t="shared" si="9"/>
        <v>10401895.071626879</v>
      </c>
      <c r="U16" s="50">
        <f t="shared" si="10"/>
        <v>10.401895071626878</v>
      </c>
      <c r="V16" s="45">
        <f t="shared" si="11"/>
        <v>15066.123544833064</v>
      </c>
      <c r="W16" s="45">
        <f t="shared" si="12"/>
        <v>15.066123544833065</v>
      </c>
      <c r="X16" s="45">
        <f t="shared" si="13"/>
        <v>1536.3227501137171</v>
      </c>
      <c r="Y16" s="46">
        <f t="shared" si="14"/>
        <v>8.9525092992897264</v>
      </c>
      <c r="Z16" s="46">
        <f t="shared" si="21"/>
        <v>3.6154473048562168</v>
      </c>
      <c r="AA16" s="47">
        <f t="shared" si="24"/>
        <v>4141.8700329009889</v>
      </c>
      <c r="AF16" s="3"/>
      <c r="AG16" s="3"/>
    </row>
    <row r="17" spans="1:33">
      <c r="A17" s="23">
        <v>230398.2</v>
      </c>
      <c r="B17" s="23">
        <v>32.5</v>
      </c>
      <c r="C17" s="23">
        <f t="shared" si="15"/>
        <v>460796.4</v>
      </c>
      <c r="D17" s="30">
        <f t="shared" si="0"/>
        <v>8693682.281220004</v>
      </c>
      <c r="E17" s="10">
        <f t="shared" si="2"/>
        <v>8.6936822812200027</v>
      </c>
      <c r="F17" s="10">
        <f t="shared" si="16"/>
        <v>12509.745197019949</v>
      </c>
      <c r="G17" s="10">
        <f t="shared" si="17"/>
        <v>12.509745197019949</v>
      </c>
      <c r="H17" s="10">
        <f t="shared" si="18"/>
        <v>1275.6437372305181</v>
      </c>
      <c r="I17" s="55">
        <f t="shared" si="3"/>
        <v>7.3065774534736185</v>
      </c>
      <c r="J17" s="55">
        <f t="shared" si="19"/>
        <v>4.9523142677880756</v>
      </c>
      <c r="K17" s="52">
        <f t="shared" si="22"/>
        <v>4221.3948049753699</v>
      </c>
      <c r="L17" s="20">
        <f t="shared" si="1"/>
        <v>10026311.445397357</v>
      </c>
      <c r="M17" s="27">
        <f t="shared" si="4"/>
        <v>10.026311445397356</v>
      </c>
      <c r="N17" s="27">
        <f t="shared" si="5"/>
        <v>14504.054313600116</v>
      </c>
      <c r="O17" s="27">
        <f t="shared" si="6"/>
        <v>14.504054313600117</v>
      </c>
      <c r="P17" s="27">
        <f t="shared" si="7"/>
        <v>1479.0074264664311</v>
      </c>
      <c r="Q17" s="25">
        <f t="shared" si="8"/>
        <v>8.3458229296246973</v>
      </c>
      <c r="R17" s="25">
        <f t="shared" si="20"/>
        <v>4.1729636796501195</v>
      </c>
      <c r="S17" s="29">
        <f t="shared" si="23"/>
        <v>4276.4607781349414</v>
      </c>
      <c r="T17" s="50">
        <f t="shared" si="9"/>
        <v>10908016.797944888</v>
      </c>
      <c r="U17" s="50">
        <f t="shared" si="10"/>
        <v>10.908016797944889</v>
      </c>
      <c r="V17" s="45">
        <f t="shared" si="11"/>
        <v>15823.545939620886</v>
      </c>
      <c r="W17" s="45">
        <f t="shared" si="12"/>
        <v>15.823545939620887</v>
      </c>
      <c r="X17" s="45">
        <f t="shared" si="13"/>
        <v>1613.558626555021</v>
      </c>
      <c r="Y17" s="46">
        <f t="shared" si="14"/>
        <v>9.0336885475524014</v>
      </c>
      <c r="Z17" s="46">
        <f t="shared" si="21"/>
        <v>3.8946986204843776</v>
      </c>
      <c r="AA17" s="47">
        <f t="shared" si="24"/>
        <v>4312.9904214264097</v>
      </c>
      <c r="AF17" s="3"/>
      <c r="AG17" s="3"/>
    </row>
    <row r="18" spans="1:33">
      <c r="A18" s="23">
        <v>227464.6</v>
      </c>
      <c r="B18" s="23">
        <v>35</v>
      </c>
      <c r="C18" s="23">
        <f t="shared" si="15"/>
        <v>454929.2</v>
      </c>
      <c r="D18" s="30">
        <f t="shared" si="0"/>
        <v>8548325.4541321769</v>
      </c>
      <c r="E18" s="10">
        <f t="shared" si="2"/>
        <v>8.5483254541321774</v>
      </c>
      <c r="F18" s="10">
        <f t="shared" si="16"/>
        <v>12292.215479668039</v>
      </c>
      <c r="G18" s="10">
        <f t="shared" si="17"/>
        <v>12.292215479668039</v>
      </c>
      <c r="H18" s="10">
        <f t="shared" si="18"/>
        <v>1253.4617968927091</v>
      </c>
      <c r="I18" s="55">
        <f t="shared" si="3"/>
        <v>7.2770697990935078</v>
      </c>
      <c r="J18" s="55">
        <f t="shared" si="19"/>
        <v>5.2944717301457045</v>
      </c>
      <c r="K18" s="52">
        <f t="shared" si="22"/>
        <v>4243.0879633146315</v>
      </c>
      <c r="L18" s="20">
        <f t="shared" si="1"/>
        <v>9872702.5667285211</v>
      </c>
      <c r="M18" s="27">
        <f t="shared" si="4"/>
        <v>9.8727025667285204</v>
      </c>
      <c r="N18" s="27">
        <f t="shared" si="5"/>
        <v>14274.17521793585</v>
      </c>
      <c r="O18" s="27">
        <f t="shared" si="6"/>
        <v>14.27417521793585</v>
      </c>
      <c r="P18" s="27">
        <f t="shared" si="7"/>
        <v>1455.5661953233543</v>
      </c>
      <c r="Q18" s="25">
        <f t="shared" si="8"/>
        <v>8.3239467410230592</v>
      </c>
      <c r="R18" s="25">
        <f t="shared" si="20"/>
        <v>4.4725147270520349</v>
      </c>
      <c r="S18" s="29">
        <f t="shared" si="23"/>
        <v>4310.2743992721662</v>
      </c>
      <c r="T18" s="50">
        <f t="shared" si="9"/>
        <v>10736805.887904616</v>
      </c>
      <c r="U18" s="50">
        <f t="shared" si="10"/>
        <v>10.736805887904616</v>
      </c>
      <c r="V18" s="45">
        <f t="shared" si="11"/>
        <v>15567.325013402389</v>
      </c>
      <c r="W18" s="45">
        <f t="shared" si="12"/>
        <v>15.567325013402389</v>
      </c>
      <c r="X18" s="45">
        <f t="shared" si="13"/>
        <v>1587.4312662666682</v>
      </c>
      <c r="Y18" s="46">
        <f t="shared" si="14"/>
        <v>9.0065752326231703</v>
      </c>
      <c r="Z18" s="46">
        <f t="shared" si="21"/>
        <v>4.1714405057995796</v>
      </c>
      <c r="AA18" s="47">
        <f t="shared" si="24"/>
        <v>4343.584404612935</v>
      </c>
      <c r="AF18" s="3"/>
      <c r="AG18" s="3"/>
    </row>
    <row r="19" spans="1:33">
      <c r="A19" s="23">
        <v>232761.2</v>
      </c>
      <c r="B19" s="23">
        <v>37.5</v>
      </c>
      <c r="C19" s="23">
        <f t="shared" si="15"/>
        <v>465522.4</v>
      </c>
      <c r="D19" s="30">
        <f t="shared" si="0"/>
        <v>8811192.5720901415</v>
      </c>
      <c r="E19" s="10">
        <f t="shared" si="2"/>
        <v>8.8111925720901407</v>
      </c>
      <c r="F19" s="10">
        <f t="shared" si="16"/>
        <v>12685.601954979296</v>
      </c>
      <c r="G19" s="10">
        <f t="shared" si="17"/>
        <v>12.685601954979296</v>
      </c>
      <c r="H19" s="10">
        <f t="shared" si="18"/>
        <v>1293.5762025531487</v>
      </c>
      <c r="I19" s="55">
        <f t="shared" si="3"/>
        <v>7.3301593399315284</v>
      </c>
      <c r="J19" s="55">
        <f t="shared" si="19"/>
        <v>5.6380166004053551</v>
      </c>
      <c r="K19" s="52">
        <f t="shared" si="22"/>
        <v>4290.5005249775795</v>
      </c>
      <c r="L19" s="20">
        <f t="shared" si="1"/>
        <v>10150334.498447264</v>
      </c>
      <c r="M19" s="27">
        <f t="shared" si="4"/>
        <v>10.150334498447263</v>
      </c>
      <c r="N19" s="27">
        <f t="shared" si="5"/>
        <v>14689.657564686268</v>
      </c>
      <c r="O19" s="27">
        <f t="shared" si="6"/>
        <v>14.689657564686268</v>
      </c>
      <c r="P19" s="27">
        <f t="shared" si="7"/>
        <v>1497.9337611861881</v>
      </c>
      <c r="Q19" s="25">
        <f t="shared" si="8"/>
        <v>8.3632835996879944</v>
      </c>
      <c r="R19" s="25">
        <f t="shared" si="20"/>
        <v>4.7728530254314805</v>
      </c>
      <c r="S19" s="29">
        <f t="shared" si="23"/>
        <v>4349.4741262397647</v>
      </c>
      <c r="T19" s="50">
        <f t="shared" si="9"/>
        <v>11046298.956789775</v>
      </c>
      <c r="U19" s="50">
        <f t="shared" si="10"/>
        <v>11.046298956789775</v>
      </c>
      <c r="V19" s="45">
        <f t="shared" si="11"/>
        <v>16030.488258953195</v>
      </c>
      <c r="W19" s="45">
        <f t="shared" si="12"/>
        <v>16.030488258953195</v>
      </c>
      <c r="X19" s="45">
        <f t="shared" si="13"/>
        <v>1634.6609487419751</v>
      </c>
      <c r="Y19" s="46">
        <f t="shared" si="14"/>
        <v>9.0553366854899551</v>
      </c>
      <c r="Z19" s="46">
        <f t="shared" si="21"/>
        <v>4.4490154924542873</v>
      </c>
      <c r="AA19" s="47">
        <f t="shared" si="24"/>
        <v>4385.3812986960238</v>
      </c>
      <c r="AF19" s="3"/>
      <c r="AG19" s="3"/>
    </row>
    <row r="20" spans="1:33">
      <c r="A20" s="23">
        <v>226542.2</v>
      </c>
      <c r="B20" s="23">
        <v>40</v>
      </c>
      <c r="C20" s="23">
        <f t="shared" si="15"/>
        <v>453084.4</v>
      </c>
      <c r="D20" s="30">
        <f t="shared" si="0"/>
        <v>8502743.3347926233</v>
      </c>
      <c r="E20" s="10">
        <f t="shared" si="2"/>
        <v>8.5027433347926227</v>
      </c>
      <c r="F20" s="10">
        <f t="shared" si="16"/>
        <v>12224.000826563073</v>
      </c>
      <c r="G20" s="10">
        <f t="shared" si="17"/>
        <v>12.224000826563074</v>
      </c>
      <c r="H20" s="10">
        <f t="shared" si="18"/>
        <v>1246.5058122862897</v>
      </c>
      <c r="I20" s="55">
        <f t="shared" si="3"/>
        <v>7.2677380487337704</v>
      </c>
      <c r="J20" s="55">
        <f t="shared" si="19"/>
        <v>5.9790733065510295</v>
      </c>
      <c r="K20" s="52">
        <f t="shared" si="22"/>
        <v>4247.7935380349845</v>
      </c>
      <c r="L20" s="20">
        <f t="shared" si="1"/>
        <v>9824487.4913753271</v>
      </c>
      <c r="M20" s="27">
        <f t="shared" si="4"/>
        <v>9.8244874913753275</v>
      </c>
      <c r="N20" s="27">
        <f t="shared" si="5"/>
        <v>14202.020287728519</v>
      </c>
      <c r="O20" s="27">
        <f t="shared" si="6"/>
        <v>14.202020287728519</v>
      </c>
      <c r="P20" s="27">
        <f t="shared" si="7"/>
        <v>1448.2084127802525</v>
      </c>
      <c r="Q20" s="25">
        <f t="shared" si="8"/>
        <v>8.317021945698917</v>
      </c>
      <c r="R20" s="25">
        <f t="shared" si="20"/>
        <v>5.0717786770850086</v>
      </c>
      <c r="S20" s="29">
        <f t="shared" si="23"/>
        <v>4318.231814698448</v>
      </c>
      <c r="T20" s="50">
        <f t="shared" si="9"/>
        <v>10683079.363780953</v>
      </c>
      <c r="U20" s="50">
        <f t="shared" si="10"/>
        <v>10.683079363780953</v>
      </c>
      <c r="V20" s="45">
        <f t="shared" si="11"/>
        <v>15486.922077805424</v>
      </c>
      <c r="W20" s="45">
        <f t="shared" si="12"/>
        <v>15.486922077805424</v>
      </c>
      <c r="X20" s="45">
        <f t="shared" si="13"/>
        <v>1579.2324181179747</v>
      </c>
      <c r="Y20" s="46">
        <f t="shared" si="14"/>
        <v>8.9979948068643019</v>
      </c>
      <c r="Z20" s="46">
        <f t="shared" si="21"/>
        <v>4.7250957848641697</v>
      </c>
      <c r="AA20" s="47">
        <f t="shared" si="24"/>
        <v>4350.6679308872854</v>
      </c>
      <c r="AF20" s="3"/>
      <c r="AG20" s="3"/>
    </row>
    <row r="21" spans="1:33">
      <c r="A21" s="23">
        <v>230573.3</v>
      </c>
      <c r="B21" s="23">
        <v>42.5</v>
      </c>
      <c r="C21" s="23">
        <f t="shared" si="15"/>
        <v>461146.6</v>
      </c>
      <c r="D21" s="30">
        <f t="shared" si="0"/>
        <v>8702376.8758546244</v>
      </c>
      <c r="E21" s="10">
        <f t="shared" si="2"/>
        <v>8.7023768758546236</v>
      </c>
      <c r="F21" s="10">
        <f t="shared" si="16"/>
        <v>12522.756850832509</v>
      </c>
      <c r="G21" s="10">
        <f t="shared" si="17"/>
        <v>12.52275685083251</v>
      </c>
      <c r="H21" s="10">
        <f t="shared" si="18"/>
        <v>1276.9705615930925</v>
      </c>
      <c r="I21" s="55">
        <f t="shared" si="3"/>
        <v>7.3083305499817817</v>
      </c>
      <c r="J21" s="55">
        <f t="shared" si="19"/>
        <v>6.3230592872284106</v>
      </c>
      <c r="K21" s="52">
        <f t="shared" si="22"/>
        <v>4256.2688541222142</v>
      </c>
      <c r="L21" s="20">
        <f t="shared" si="1"/>
        <v>10035492.740696264</v>
      </c>
      <c r="M21" s="27">
        <f t="shared" si="4"/>
        <v>10.035492740696265</v>
      </c>
      <c r="N21" s="27">
        <f t="shared" si="5"/>
        <v>14517.794325757159</v>
      </c>
      <c r="O21" s="27">
        <f t="shared" si="6"/>
        <v>14.517794325757158</v>
      </c>
      <c r="P21" s="27">
        <f t="shared" si="7"/>
        <v>1480.4085229861089</v>
      </c>
      <c r="Q21" s="25">
        <f t="shared" si="8"/>
        <v>8.3471216506488233</v>
      </c>
      <c r="R21" s="25">
        <f t="shared" si="20"/>
        <v>5.3723670386791316</v>
      </c>
      <c r="S21" s="29">
        <f t="shared" si="23"/>
        <v>4316.4210099773045</v>
      </c>
      <c r="T21" s="50">
        <f t="shared" si="9"/>
        <v>10918252.238605531</v>
      </c>
      <c r="U21" s="50">
        <f t="shared" si="10"/>
        <v>10.918252238605531</v>
      </c>
      <c r="V21" s="45">
        <f t="shared" si="11"/>
        <v>15838.863503704313</v>
      </c>
      <c r="W21" s="45">
        <f t="shared" si="12"/>
        <v>15.838863503704314</v>
      </c>
      <c r="X21" s="45">
        <f t="shared" si="13"/>
        <v>1615.1205891997363</v>
      </c>
      <c r="Y21" s="46">
        <f t="shared" si="14"/>
        <v>9.0352985053024764</v>
      </c>
      <c r="Z21" s="46">
        <f t="shared" si="21"/>
        <v>5.0029354651107978</v>
      </c>
      <c r="AA21" s="47">
        <f t="shared" si="24"/>
        <v>4351.7731247205484</v>
      </c>
      <c r="AF21" s="3"/>
      <c r="AG21" s="3"/>
    </row>
    <row r="22" spans="1:33">
      <c r="A22" s="23">
        <v>234394.8</v>
      </c>
      <c r="B22" s="22">
        <v>45</v>
      </c>
      <c r="C22" s="23">
        <f t="shared" si="15"/>
        <v>468789.6</v>
      </c>
      <c r="D22" s="30">
        <f t="shared" si="0"/>
        <v>8892651.0840529799</v>
      </c>
      <c r="E22" s="10">
        <f t="shared" si="2"/>
        <v>8.8926510840529787</v>
      </c>
      <c r="F22" s="10">
        <f t="shared" si="16"/>
        <v>12807.50642577844</v>
      </c>
      <c r="G22" s="10">
        <f t="shared" si="17"/>
        <v>12.80750642577844</v>
      </c>
      <c r="H22" s="10">
        <f t="shared" si="18"/>
        <v>1306.007045249479</v>
      </c>
      <c r="I22" s="55">
        <f t="shared" si="3"/>
        <v>7.3463664767944046</v>
      </c>
      <c r="J22" s="55">
        <f t="shared" si="19"/>
        <v>6.6651346740629913</v>
      </c>
      <c r="K22" s="52">
        <f t="shared" si="22"/>
        <v>4332.4298044842326</v>
      </c>
      <c r="L22" s="20">
        <f t="shared" si="1"/>
        <v>10236225.735251466</v>
      </c>
      <c r="M22" s="27">
        <f t="shared" si="4"/>
        <v>10.236225735251466</v>
      </c>
      <c r="N22" s="27">
        <f t="shared" si="5"/>
        <v>14818.195706577155</v>
      </c>
      <c r="O22" s="27">
        <f t="shared" si="6"/>
        <v>14.818195706577155</v>
      </c>
      <c r="P22" s="27">
        <f t="shared" si="7"/>
        <v>1511.0410525910856</v>
      </c>
      <c r="Q22" s="25">
        <f t="shared" si="8"/>
        <v>8.37527236081689</v>
      </c>
      <c r="R22" s="25">
        <f t="shared" si="20"/>
        <v>5.6718714792075229</v>
      </c>
      <c r="S22" s="29">
        <f t="shared" si="23"/>
        <v>4393.1296409903762</v>
      </c>
      <c r="T22" s="50">
        <f t="shared" si="9"/>
        <v>11142089.71516785</v>
      </c>
      <c r="U22" s="50">
        <f t="shared" si="10"/>
        <v>11.142089715167851</v>
      </c>
      <c r="V22" s="45">
        <f t="shared" si="11"/>
        <v>16173.841254559784</v>
      </c>
      <c r="W22" s="45">
        <f t="shared" si="12"/>
        <v>16.173841254559782</v>
      </c>
      <c r="X22" s="45">
        <f t="shared" si="13"/>
        <v>1649.2789404099701</v>
      </c>
      <c r="Y22" s="46">
        <f t="shared" si="14"/>
        <v>9.0702044279361811</v>
      </c>
      <c r="Z22" s="46">
        <f t="shared" si="21"/>
        <v>5.2796280390786468</v>
      </c>
      <c r="AA22" s="47">
        <f t="shared" si="24"/>
        <v>4428.8388396184491</v>
      </c>
      <c r="AF22" s="3"/>
      <c r="AG22" s="3"/>
    </row>
    <row r="23" spans="1:33">
      <c r="A23" s="23">
        <v>205818</v>
      </c>
      <c r="B23" s="23">
        <v>47.5</v>
      </c>
      <c r="C23" s="23">
        <f t="shared" si="15"/>
        <v>411636</v>
      </c>
      <c r="D23" s="30">
        <f t="shared" si="0"/>
        <v>7494379.8460062463</v>
      </c>
      <c r="E23" s="10">
        <f t="shared" si="2"/>
        <v>7.4943798460062458</v>
      </c>
      <c r="F23" s="10">
        <f t="shared" si="16"/>
        <v>10714.962488988749</v>
      </c>
      <c r="G23" s="10">
        <f t="shared" si="17"/>
        <v>10.71496248898875</v>
      </c>
      <c r="H23" s="10">
        <f t="shared" si="18"/>
        <v>1092.6261549271608</v>
      </c>
      <c r="I23" s="55">
        <f t="shared" si="3"/>
        <v>7.0508529486936249</v>
      </c>
      <c r="J23" s="55">
        <f t="shared" si="19"/>
        <v>7.0054389602563036</v>
      </c>
      <c r="K23" s="52">
        <f t="shared" si="22"/>
        <v>4002.398496772113</v>
      </c>
      <c r="L23" s="20">
        <f t="shared" si="1"/>
        <v>8752058.1229312047</v>
      </c>
      <c r="M23" s="27">
        <f t="shared" si="4"/>
        <v>8.7520581229312047</v>
      </c>
      <c r="N23" s="27">
        <f t="shared" si="5"/>
        <v>12597.105939559724</v>
      </c>
      <c r="O23" s="27">
        <f t="shared" si="6"/>
        <v>12.597105939559725</v>
      </c>
      <c r="P23" s="27">
        <f t="shared" si="7"/>
        <v>1284.5520868687843</v>
      </c>
      <c r="Q23" s="25">
        <f t="shared" si="8"/>
        <v>8.1551864862814334</v>
      </c>
      <c r="R23" s="25">
        <f t="shared" si="20"/>
        <v>5.9703692345397634</v>
      </c>
      <c r="S23" s="29">
        <f t="shared" si="23"/>
        <v>4091.7030015640689</v>
      </c>
      <c r="T23" s="50">
        <f t="shared" si="9"/>
        <v>9489804.0467021335</v>
      </c>
      <c r="U23" s="50">
        <f t="shared" si="10"/>
        <v>9.4898040467021332</v>
      </c>
      <c r="V23" s="45">
        <f t="shared" si="11"/>
        <v>13701.159085811003</v>
      </c>
      <c r="W23" s="45">
        <f t="shared" si="12"/>
        <v>13.701159085811003</v>
      </c>
      <c r="X23" s="45">
        <f t="shared" si="13"/>
        <v>1397.1345942983196</v>
      </c>
      <c r="Y23" s="46">
        <f t="shared" si="14"/>
        <v>8.7977636039698499</v>
      </c>
      <c r="Z23" s="46">
        <f t="shared" si="21"/>
        <v>5.5552557848326467</v>
      </c>
      <c r="AA23" s="47">
        <f t="shared" si="24"/>
        <v>4117.1894991081908</v>
      </c>
      <c r="AF23" s="3"/>
      <c r="AG23" s="3"/>
    </row>
    <row r="24" spans="1:33">
      <c r="A24" s="23"/>
      <c r="B24" s="23">
        <v>50</v>
      </c>
      <c r="C24" s="23">
        <f>255.2*816.6</f>
        <v>208396.32</v>
      </c>
      <c r="D24" s="30">
        <f t="shared" si="0"/>
        <v>3060255.3786665429</v>
      </c>
      <c r="E24" s="10">
        <f t="shared" si="2"/>
        <v>3.0602553786665427</v>
      </c>
      <c r="F24" s="10">
        <f t="shared" si="16"/>
        <v>4079.1968259090072</v>
      </c>
      <c r="G24" s="10">
        <f t="shared" si="17"/>
        <v>4.0791968259090075</v>
      </c>
      <c r="H24" s="10">
        <f t="shared" si="18"/>
        <v>415.96385873159329</v>
      </c>
      <c r="I24" s="55">
        <f t="shared" si="3"/>
        <v>5.6870484700624413</v>
      </c>
      <c r="J24" s="55">
        <f t="shared" si="19"/>
        <v>7.3600059918185199</v>
      </c>
      <c r="K24" s="52">
        <f t="shared" si="22"/>
        <v>2622.7605763709039</v>
      </c>
      <c r="L24" s="20">
        <f t="shared" si="1"/>
        <v>3854229.2065148195</v>
      </c>
      <c r="M24" s="27">
        <f t="shared" si="4"/>
        <v>3.8542292065148192</v>
      </c>
      <c r="N24" s="27">
        <f t="shared" si="5"/>
        <v>5267.3962783660872</v>
      </c>
      <c r="O24" s="27">
        <f t="shared" si="6"/>
        <v>5.2673962783660873</v>
      </c>
      <c r="P24" s="27">
        <f t="shared" si="7"/>
        <v>537.12693329754666</v>
      </c>
      <c r="Q24" s="25">
        <f t="shared" si="8"/>
        <v>7.0938915572263133</v>
      </c>
      <c r="R24" s="25">
        <f t="shared" si="20"/>
        <v>6.2769226167592223</v>
      </c>
      <c r="S24" s="29">
        <f t="shared" si="23"/>
        <v>2738.2117882860907</v>
      </c>
      <c r="T24" s="50">
        <f t="shared" si="9"/>
        <v>4095342.262842569</v>
      </c>
      <c r="U24" s="50">
        <f t="shared" si="10"/>
        <v>4.0953422628425686</v>
      </c>
      <c r="V24" s="45">
        <f t="shared" si="11"/>
        <v>5628.2273177031075</v>
      </c>
      <c r="W24" s="45">
        <f t="shared" si="12"/>
        <v>5.6282273177031072</v>
      </c>
      <c r="X24" s="45">
        <f t="shared" si="13"/>
        <v>573.92159604082121</v>
      </c>
      <c r="Y24" s="46">
        <f t="shared" si="14"/>
        <v>7.4994350876833851</v>
      </c>
      <c r="Z24" s="46">
        <f t="shared" si="21"/>
        <v>5.8394189099786686</v>
      </c>
      <c r="AA24" s="47">
        <f t="shared" si="24"/>
        <v>2746.3494237887971</v>
      </c>
      <c r="AF24" s="3"/>
      <c r="AG24" s="3"/>
    </row>
    <row r="25" spans="1:33">
      <c r="A25" s="23"/>
      <c r="B25" s="23">
        <v>52.5</v>
      </c>
      <c r="C25" s="23">
        <f>815.7*12.624*5</f>
        <v>51486.984000000004</v>
      </c>
      <c r="D25" s="30">
        <f t="shared" si="0"/>
        <v>486205.70159312285</v>
      </c>
      <c r="E25" s="10">
        <f t="shared" si="2"/>
        <v>0.48620570159312282</v>
      </c>
      <c r="F25" s="10">
        <f t="shared" si="16"/>
        <v>227.07436340332893</v>
      </c>
      <c r="G25" s="10">
        <f t="shared" si="17"/>
        <v>0.22707436340332893</v>
      </c>
      <c r="H25" s="10">
        <f t="shared" si="18"/>
        <v>23.155226984964255</v>
      </c>
      <c r="I25" s="55">
        <f t="shared" si="3"/>
        <v>3.6571426466523267</v>
      </c>
      <c r="J25" s="55">
        <f t="shared" si="19"/>
        <v>7.7996013307997876</v>
      </c>
      <c r="K25" s="52">
        <f t="shared" si="22"/>
        <v>946.50837160551157</v>
      </c>
      <c r="L25" s="20">
        <f t="shared" si="1"/>
        <v>715122.09563996329</v>
      </c>
      <c r="M25" s="27">
        <f t="shared" si="4"/>
        <v>0.71512209563996321</v>
      </c>
      <c r="N25" s="27">
        <f t="shared" si="5"/>
        <v>569.65282698069791</v>
      </c>
      <c r="O25" s="27">
        <f t="shared" si="6"/>
        <v>0.56965282698069797</v>
      </c>
      <c r="P25" s="27">
        <f t="shared" si="7"/>
        <v>58.088638072875732</v>
      </c>
      <c r="Q25" s="25">
        <f t="shared" si="8"/>
        <v>5.3274550887247143</v>
      </c>
      <c r="R25" s="25">
        <f t="shared" si="20"/>
        <v>6.6293384917176335</v>
      </c>
      <c r="S25" s="29">
        <f t="shared" si="23"/>
        <v>1028.5343838179992</v>
      </c>
      <c r="T25" s="50">
        <f t="shared" si="9"/>
        <v>728902.96671871829</v>
      </c>
      <c r="U25" s="50">
        <f t="shared" si="10"/>
        <v>0.72890296671871824</v>
      </c>
      <c r="V25" s="45">
        <f t="shared" si="11"/>
        <v>590.27620636151983</v>
      </c>
      <c r="W25" s="45">
        <f t="shared" si="12"/>
        <v>0.59027620636151978</v>
      </c>
      <c r="X25" s="45">
        <f t="shared" si="13"/>
        <v>60.191645315096892</v>
      </c>
      <c r="Y25" s="46">
        <f t="shared" si="14"/>
        <v>5.4025731785642259</v>
      </c>
      <c r="Z25" s="46">
        <f t="shared" si="21"/>
        <v>6.1727773524173326</v>
      </c>
      <c r="AA25" s="47">
        <f t="shared" si="24"/>
        <v>1036.4953245407637</v>
      </c>
      <c r="AF25" s="3"/>
      <c r="AG25" s="3"/>
    </row>
    <row r="26" spans="1:33" ht="15.75" thickBot="1">
      <c r="A26" s="24"/>
      <c r="B26" s="24">
        <v>55</v>
      </c>
      <c r="C26" s="24">
        <f t="shared" si="15"/>
        <v>0</v>
      </c>
      <c r="D26" s="31">
        <v>0</v>
      </c>
      <c r="E26" s="16">
        <v>0</v>
      </c>
      <c r="F26" s="16">
        <v>0</v>
      </c>
      <c r="G26" s="16">
        <f t="shared" si="17"/>
        <v>0</v>
      </c>
      <c r="H26" s="16">
        <f t="shared" si="18"/>
        <v>0</v>
      </c>
      <c r="I26" s="56">
        <v>0</v>
      </c>
      <c r="J26" s="56">
        <f t="shared" si="19"/>
        <v>8.483195120144714</v>
      </c>
      <c r="K26" s="52">
        <f t="shared" si="22"/>
        <v>77.613312270984252</v>
      </c>
      <c r="L26" s="21">
        <f>((2.06*(10^(-3)/98066.5^0.31)*1683*C26*(0.95*338.917*2634)^0.5)/(957*0.647*0.96))^(1/(1-0.31))</f>
        <v>0</v>
      </c>
      <c r="M26" s="28">
        <f t="shared" si="4"/>
        <v>0</v>
      </c>
      <c r="N26" s="28">
        <v>0</v>
      </c>
      <c r="O26" s="28">
        <v>0</v>
      </c>
      <c r="P26" s="28">
        <f t="shared" si="7"/>
        <v>0</v>
      </c>
      <c r="Q26" s="26">
        <f t="shared" si="8"/>
        <v>0</v>
      </c>
      <c r="R26" s="26">
        <f t="shared" si="20"/>
        <v>7.0986057043669</v>
      </c>
      <c r="S26" s="29">
        <f t="shared" si="23"/>
        <v>133.65969714750349</v>
      </c>
      <c r="T26" s="51">
        <f t="shared" si="9"/>
        <v>0</v>
      </c>
      <c r="U26" s="51">
        <f t="shared" si="10"/>
        <v>0</v>
      </c>
      <c r="V26" s="48">
        <v>0</v>
      </c>
      <c r="W26" s="48">
        <v>0</v>
      </c>
      <c r="X26" s="48">
        <f t="shared" si="13"/>
        <v>0</v>
      </c>
      <c r="Y26" s="49">
        <f t="shared" si="14"/>
        <v>0</v>
      </c>
      <c r="Z26" s="49">
        <f t="shared" si="21"/>
        <v>6.6355198118659606</v>
      </c>
      <c r="AA26" s="47">
        <f t="shared" si="24"/>
        <v>136.57293174286778</v>
      </c>
    </row>
    <row r="27" spans="1:33" ht="15.75">
      <c r="K27" s="18">
        <f>SUM(K5:K26)</f>
        <v>69470.801388259148</v>
      </c>
      <c r="L27" s="8"/>
      <c r="M27" s="8"/>
      <c r="N27" s="8"/>
      <c r="O27" s="8"/>
      <c r="P27" s="8"/>
      <c r="Q27" s="8"/>
      <c r="R27" s="8"/>
      <c r="S27" s="18">
        <f>SUM(S5:S26)</f>
        <v>70781.705583159375</v>
      </c>
      <c r="T27" s="8"/>
      <c r="U27" s="8"/>
      <c r="V27" s="8"/>
      <c r="W27" s="8"/>
      <c r="X27" s="8"/>
      <c r="Y27" s="8"/>
      <c r="Z27" s="8"/>
      <c r="AA27" s="18">
        <f>SUM(AA5:AA26)</f>
        <v>71388.797649031636</v>
      </c>
    </row>
    <row r="33" spans="17:17">
      <c r="Q33" s="58"/>
    </row>
    <row r="34" spans="17:17">
      <c r="Q34" s="58"/>
    </row>
    <row r="35" spans="17:17">
      <c r="Q35" s="58"/>
    </row>
    <row r="36" spans="17:17">
      <c r="Q36" s="58"/>
    </row>
    <row r="37" spans="17:17">
      <c r="Q37" s="58"/>
    </row>
    <row r="38" spans="17:17">
      <c r="Q38" s="58"/>
    </row>
    <row r="39" spans="17:17">
      <c r="Q39" s="58"/>
    </row>
    <row r="40" spans="17:17">
      <c r="Q40" s="58"/>
    </row>
    <row r="41" spans="17:17">
      <c r="Q41" s="58"/>
    </row>
    <row r="42" spans="17:17">
      <c r="Q42" s="58"/>
    </row>
    <row r="43" spans="17:17">
      <c r="Q43" s="58"/>
    </row>
    <row r="44" spans="17:17">
      <c r="Q44" s="58"/>
    </row>
    <row r="45" spans="17:17">
      <c r="Q45" s="58"/>
    </row>
    <row r="46" spans="17:17">
      <c r="Q46" s="58"/>
    </row>
    <row r="47" spans="17:17">
      <c r="Q47" s="58"/>
    </row>
    <row r="48" spans="17:17">
      <c r="Q48" s="58"/>
    </row>
    <row r="49" spans="1:33">
      <c r="Q49" s="58"/>
    </row>
    <row r="50" spans="1:33">
      <c r="Q50" s="58"/>
    </row>
    <row r="51" spans="1:33">
      <c r="Q51" s="58"/>
    </row>
    <row r="52" spans="1:33">
      <c r="Q52" s="58"/>
    </row>
    <row r="53" spans="1:33">
      <c r="Q53" s="58"/>
      <c r="R53" s="57"/>
      <c r="T53" s="57"/>
    </row>
    <row r="54" spans="1:33" ht="21.75" thickBot="1">
      <c r="A54" s="203" t="s">
        <v>21</v>
      </c>
      <c r="B54" s="203"/>
      <c r="C54" s="203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203"/>
    </row>
    <row r="55" spans="1:33" ht="15.75" thickBot="1">
      <c r="A55" s="204" t="s">
        <v>0</v>
      </c>
      <c r="B55" s="204" t="s">
        <v>5</v>
      </c>
      <c r="C55" s="204" t="s">
        <v>6</v>
      </c>
      <c r="D55" s="209" t="s">
        <v>18</v>
      </c>
      <c r="E55" s="210"/>
      <c r="F55" s="210"/>
      <c r="G55" s="210"/>
      <c r="H55" s="210"/>
      <c r="I55" s="210"/>
      <c r="J55" s="210"/>
      <c r="K55" s="211"/>
      <c r="L55" s="212" t="s">
        <v>17</v>
      </c>
      <c r="M55" s="213"/>
      <c r="N55" s="213"/>
      <c r="O55" s="213"/>
      <c r="P55" s="213"/>
      <c r="Q55" s="213"/>
      <c r="R55" s="213"/>
      <c r="S55" s="213"/>
      <c r="T55" s="209" t="s">
        <v>20</v>
      </c>
      <c r="U55" s="214"/>
      <c r="V55" s="214"/>
      <c r="W55" s="214"/>
      <c r="X55" s="214"/>
      <c r="Y55" s="214"/>
      <c r="Z55" s="214"/>
      <c r="AA55" s="215"/>
      <c r="AF55" s="3"/>
      <c r="AG55" s="3"/>
    </row>
    <row r="56" spans="1:33" ht="15.75" thickBot="1">
      <c r="A56" s="205"/>
      <c r="B56" s="205"/>
      <c r="C56" s="205"/>
      <c r="D56" s="34" t="s">
        <v>19</v>
      </c>
      <c r="E56" s="12" t="s">
        <v>8</v>
      </c>
      <c r="F56" s="12" t="s">
        <v>7</v>
      </c>
      <c r="G56" s="12" t="s">
        <v>9</v>
      </c>
      <c r="H56" s="12" t="s">
        <v>10</v>
      </c>
      <c r="I56" s="12" t="s">
        <v>13</v>
      </c>
      <c r="J56" s="11" t="s">
        <v>12</v>
      </c>
      <c r="K56" s="17" t="s">
        <v>11</v>
      </c>
      <c r="L56" s="34" t="s">
        <v>19</v>
      </c>
      <c r="M56" s="35" t="s">
        <v>8</v>
      </c>
      <c r="N56" s="35" t="s">
        <v>7</v>
      </c>
      <c r="O56" s="35" t="s">
        <v>9</v>
      </c>
      <c r="P56" s="35" t="s">
        <v>10</v>
      </c>
      <c r="Q56" s="35" t="s">
        <v>13</v>
      </c>
      <c r="R56" s="36" t="s">
        <v>12</v>
      </c>
      <c r="S56" s="37" t="s">
        <v>11</v>
      </c>
      <c r="T56" s="34" t="s">
        <v>19</v>
      </c>
      <c r="U56" s="35" t="s">
        <v>8</v>
      </c>
      <c r="V56" s="35" t="s">
        <v>7</v>
      </c>
      <c r="W56" s="35" t="s">
        <v>9</v>
      </c>
      <c r="X56" s="35" t="s">
        <v>10</v>
      </c>
      <c r="Y56" s="35" t="s">
        <v>13</v>
      </c>
      <c r="Z56" s="36" t="s">
        <v>12</v>
      </c>
      <c r="AA56" s="37" t="s">
        <v>11</v>
      </c>
      <c r="AF56" s="3"/>
      <c r="AG56" s="3"/>
    </row>
    <row r="57" spans="1:33">
      <c r="A57" s="22">
        <v>108912.4</v>
      </c>
      <c r="B57" s="23">
        <v>0</v>
      </c>
      <c r="C57" s="13">
        <f>A57*2+785.39+6207.8</f>
        <v>224817.99</v>
      </c>
      <c r="D57" s="10">
        <f>((7.924*(10^(-3)/98066.5^0.4)*1683*C57*(0.95*338.917*2584)^0.5)/(957*0.647*0.96))^(1/(1-0.4))</f>
        <v>59845443.952537328</v>
      </c>
      <c r="E57" s="33">
        <v>0</v>
      </c>
      <c r="F57" s="33" t="e">
        <f>1*0.95*E57*957*((0.293-(0.098/M57))/0.178)</f>
        <v>#DIV/0!</v>
      </c>
      <c r="G57" s="33">
        <v>0</v>
      </c>
      <c r="H57" s="33">
        <v>0</v>
      </c>
      <c r="I57" s="54">
        <f>7.924*((59/0.098)^0.4)</f>
        <v>102.51675273323251</v>
      </c>
      <c r="J57" s="54">
        <v>0</v>
      </c>
      <c r="K57" s="33"/>
      <c r="L57" s="9">
        <f>((7.924*(10^(-3)/98066.5^0.4)*1683*C57*(0.95*338.917*2634)^0.5)/(957*0.647*0.96))^(1/(1-0.4))</f>
        <v>60808899.554059215</v>
      </c>
      <c r="M57" s="39">
        <v>0</v>
      </c>
      <c r="N57" s="39">
        <v>0</v>
      </c>
      <c r="O57" s="39">
        <v>0</v>
      </c>
      <c r="P57" s="39">
        <v>0</v>
      </c>
      <c r="Q57" s="40">
        <v>102</v>
      </c>
      <c r="R57" s="40">
        <v>0</v>
      </c>
      <c r="S57" s="59"/>
      <c r="T57" s="50">
        <f>((7.924*(10^(-3)/98066.5^0.4)*1683*C57*(0.95*338.917*2661)^0.5)/(957*0.647*0.96))^(1/(1-0.4))</f>
        <v>61327895.809665337</v>
      </c>
      <c r="U57" s="50">
        <v>0</v>
      </c>
      <c r="V57" s="42" t="e">
        <f>1*0.95*U57*957*((0.293-(0.098/U57))/0.178)</f>
        <v>#DIV/0!</v>
      </c>
      <c r="W57" s="42">
        <v>0</v>
      </c>
      <c r="X57" s="42">
        <v>0</v>
      </c>
      <c r="Y57" s="43">
        <v>103</v>
      </c>
      <c r="Z57" s="43">
        <v>0</v>
      </c>
      <c r="AA57" s="44"/>
      <c r="AF57" s="3"/>
      <c r="AG57" s="3"/>
    </row>
    <row r="58" spans="1:33">
      <c r="A58" s="22">
        <v>122439.3</v>
      </c>
      <c r="B58" s="23">
        <v>2.5</v>
      </c>
      <c r="C58" s="13">
        <f>A58*2</f>
        <v>244878.6</v>
      </c>
      <c r="D58" s="10">
        <f t="shared" ref="D58:D79" si="25">((7.924*(10^(-3)/98066.5^0.4)*1683*C58*(0.95*338.917*2584)^0.5)/(957*0.647*0.96))^(1/(1-0.4))</f>
        <v>69007672.774751961</v>
      </c>
      <c r="E58" s="10">
        <f t="shared" ref="E58:E78" si="26">D58*10^(-6)</f>
        <v>69.007672774751953</v>
      </c>
      <c r="F58" s="10">
        <f>1*0.95*E58*957*((0.293-(0.098/E58))/0.178)</f>
        <v>102770.97039903123</v>
      </c>
      <c r="G58" s="10">
        <f>F58*10^(-3)</f>
        <v>102.77097039903123</v>
      </c>
      <c r="H58" s="10">
        <f>G58*101.972</f>
        <v>10479.761393530012</v>
      </c>
      <c r="I58" s="55">
        <f>7.924*((E58/0.098)^0.4)</f>
        <v>109.14729804534548</v>
      </c>
      <c r="J58" s="55">
        <f>J57+2.5/I57</f>
        <v>2.4386258180703998E-2</v>
      </c>
      <c r="K58" s="52">
        <f>(F58+0)/2*J58</f>
        <v>1253.0997088161319</v>
      </c>
      <c r="L58" s="9">
        <f t="shared" ref="L58:L79" si="27">((7.924*(10^(-3)/98066.5^0.4)*1683*C58*(0.95*338.917*2634)^0.5)/(957*0.647*0.96))^(1/(1-0.4))</f>
        <v>70118631.679752961</v>
      </c>
      <c r="M58" s="27">
        <f t="shared" ref="M58:M79" si="28">L58*10^(-6)</f>
        <v>70.118631679752951</v>
      </c>
      <c r="N58" s="27">
        <f t="shared" ref="N58:N78" si="29">1*0.95*M58*957*((0.293-(0.098/M58))/0.178)</f>
        <v>104433.54505366679</v>
      </c>
      <c r="O58" s="27">
        <f t="shared" ref="O58:O78" si="30">N58*10^-3</f>
        <v>104.43354505366679</v>
      </c>
      <c r="P58" s="27">
        <f t="shared" ref="P58:P79" si="31">O58*101.972</f>
        <v>10649.297456212509</v>
      </c>
      <c r="Q58" s="25">
        <f>7.924*((M58/0.098)^0.4)</f>
        <v>109.84679994952816</v>
      </c>
      <c r="R58" s="25">
        <f>R57+2.5/Q57</f>
        <v>2.4509803921568627E-2</v>
      </c>
      <c r="S58" s="27">
        <f>((N58+0)/2)*R58</f>
        <v>1279.822856049838</v>
      </c>
      <c r="T58" s="50">
        <f t="shared" ref="T58:T78" si="32">((7.924*(10^(-3)/98066.5^0.4)*1683*C58*(0.95*338.917*2661)^0.5)/(957*0.647*0.96))^(1/(1-0.4))</f>
        <v>70717085.319876477</v>
      </c>
      <c r="U58" s="50">
        <f t="shared" ref="U58:U79" si="33">T58*10^(-6)</f>
        <v>70.717085319876475</v>
      </c>
      <c r="V58" s="45">
        <f t="shared" ref="V58:V78" si="34">1*0.95*U58*957*((0.293-(0.098/U58))/0.178)</f>
        <v>105329.14420640307</v>
      </c>
      <c r="W58" s="45">
        <f t="shared" ref="W58:W78" si="35">V58*10^-3</f>
        <v>105.32914420640307</v>
      </c>
      <c r="X58" s="45">
        <f t="shared" ref="X58:X79" si="36">W58*101.972</f>
        <v>10740.623493015333</v>
      </c>
      <c r="Y58" s="46">
        <f>7.924*((U58/0.098)^0.4)</f>
        <v>110.22085550346657</v>
      </c>
      <c r="Z58" s="46">
        <f>Z57+2.5/Y57</f>
        <v>2.4271844660194174E-2</v>
      </c>
      <c r="AA58" s="47">
        <f>((V58+0)/2)*Z58</f>
        <v>1278.2663131845034</v>
      </c>
      <c r="AF58" s="3"/>
      <c r="AG58" s="3"/>
    </row>
    <row r="59" spans="1:33">
      <c r="A59" s="22">
        <v>129087</v>
      </c>
      <c r="B59" s="23">
        <v>5</v>
      </c>
      <c r="C59" s="13">
        <f t="shared" ref="C59:C66" si="37">A59*2</f>
        <v>258174</v>
      </c>
      <c r="D59" s="10">
        <f t="shared" si="25"/>
        <v>75364501.555792496</v>
      </c>
      <c r="E59" s="10">
        <f t="shared" si="26"/>
        <v>75.364501555792486</v>
      </c>
      <c r="F59" s="10">
        <f t="shared" ref="F59:F78" si="38">1*0.95*E59*957*((0.293-(0.098/E59))/0.178)</f>
        <v>112284.1057343173</v>
      </c>
      <c r="G59" s="10">
        <f t="shared" ref="G59:G79" si="39">F59*10^(-3)</f>
        <v>112.28410573431731</v>
      </c>
      <c r="H59" s="10">
        <f t="shared" ref="H59:H79" si="40">G59*101.972</f>
        <v>11449.834829939804</v>
      </c>
      <c r="I59" s="55">
        <f t="shared" ref="I59:I79" si="41">7.924*((E59/0.098)^0.4)</f>
        <v>113.06306879708089</v>
      </c>
      <c r="J59" s="55">
        <f t="shared" ref="J59:J79" si="42">J58+2.5/I58</f>
        <v>4.7291085370850014E-2</v>
      </c>
      <c r="K59" s="52">
        <f>(F59+F58)/2*(J59-J58)</f>
        <v>2462.8996775990213</v>
      </c>
      <c r="L59" s="9">
        <f t="shared" si="27"/>
        <v>76577799.450907171</v>
      </c>
      <c r="M59" s="27">
        <f t="shared" si="28"/>
        <v>76.577799450907165</v>
      </c>
      <c r="N59" s="27">
        <f t="shared" si="29"/>
        <v>114099.83295866365</v>
      </c>
      <c r="O59" s="27">
        <f t="shared" si="30"/>
        <v>114.09983295866365</v>
      </c>
      <c r="P59" s="27">
        <f t="shared" si="31"/>
        <v>11634.988166460849</v>
      </c>
      <c r="Q59" s="25">
        <f t="shared" ref="Q59:Q79" si="43">7.924*((M59/0.098)^0.4)</f>
        <v>113.78766604623536</v>
      </c>
      <c r="R59" s="25">
        <f t="shared" ref="R59:R79" si="44">R58+2.5/Q58</f>
        <v>4.7268773697189646E-2</v>
      </c>
      <c r="S59" s="27">
        <f>((N59+N58)/2)*(R59-R58)</f>
        <v>2486.7972725734958</v>
      </c>
      <c r="T59" s="50">
        <f t="shared" si="32"/>
        <v>77231381.269835874</v>
      </c>
      <c r="U59" s="50">
        <f t="shared" si="33"/>
        <v>77.231381269835865</v>
      </c>
      <c r="V59" s="45">
        <f t="shared" si="34"/>
        <v>115077.93265433192</v>
      </c>
      <c r="W59" s="45">
        <f t="shared" si="35"/>
        <v>115.07793265433192</v>
      </c>
      <c r="X59" s="45">
        <f t="shared" si="36"/>
        <v>11734.726948627533</v>
      </c>
      <c r="Y59" s="46">
        <f t="shared" ref="Y59:Y79" si="45">7.924*((U59/0.098)^0.4)</f>
        <v>114.17514122506473</v>
      </c>
      <c r="Z59" s="46">
        <f t="shared" ref="Z59:Z79" si="46">Z58+2.5/Y58</f>
        <v>4.6953577519012094E-2</v>
      </c>
      <c r="AA59" s="47">
        <f>((V59+V58)/2)*(Z59-Z58)</f>
        <v>2499.6072187740697</v>
      </c>
      <c r="AF59" s="3"/>
      <c r="AG59" s="3"/>
    </row>
    <row r="60" spans="1:33">
      <c r="A60" s="22">
        <v>142492.4</v>
      </c>
      <c r="B60" s="23">
        <v>7.5</v>
      </c>
      <c r="C60" s="13">
        <f t="shared" si="37"/>
        <v>284984.8</v>
      </c>
      <c r="D60" s="10">
        <f t="shared" si="25"/>
        <v>88855057.789112464</v>
      </c>
      <c r="E60" s="10">
        <f t="shared" si="26"/>
        <v>88.855057789112465</v>
      </c>
      <c r="F60" s="10">
        <f t="shared" si="38"/>
        <v>132473.02250656558</v>
      </c>
      <c r="G60" s="10">
        <f t="shared" si="39"/>
        <v>132.4730225065656</v>
      </c>
      <c r="H60" s="10">
        <f t="shared" si="40"/>
        <v>13508.539051039506</v>
      </c>
      <c r="I60" s="55">
        <f t="shared" si="41"/>
        <v>120.76105488274135</v>
      </c>
      <c r="J60" s="55">
        <f t="shared" si="42"/>
        <v>6.940263803431837E-2</v>
      </c>
      <c r="K60" s="52">
        <f t="shared" ref="K60:K79" si="47">(F60+F59)/2*(J60-J59)</f>
        <v>2705.9800654287801</v>
      </c>
      <c r="L60" s="9">
        <f t="shared" si="27"/>
        <v>90285541.005484745</v>
      </c>
      <c r="M60" s="27">
        <f t="shared" si="28"/>
        <v>90.285541005484745</v>
      </c>
      <c r="N60" s="27">
        <f t="shared" si="29"/>
        <v>134613.77238373584</v>
      </c>
      <c r="O60" s="27">
        <f t="shared" si="30"/>
        <v>134.61377238373584</v>
      </c>
      <c r="P60" s="27">
        <f t="shared" si="31"/>
        <v>13726.835597514309</v>
      </c>
      <c r="Q60" s="25">
        <f t="shared" si="43"/>
        <v>121.53498689346775</v>
      </c>
      <c r="R60" s="25">
        <f t="shared" si="44"/>
        <v>6.9239520500135543E-2</v>
      </c>
      <c r="S60" s="27">
        <f t="shared" ref="S60:S79" si="48">((N60+N59)/2)*(R60-R59)</f>
        <v>2732.2118247128356</v>
      </c>
      <c r="T60" s="50">
        <f t="shared" si="32"/>
        <v>91056116.662351593</v>
      </c>
      <c r="U60" s="50">
        <f t="shared" si="33"/>
        <v>91.056116662351585</v>
      </c>
      <c r="V60" s="45">
        <f t="shared" si="34"/>
        <v>135766.95595409014</v>
      </c>
      <c r="W60" s="45">
        <f t="shared" si="35"/>
        <v>135.76695595409015</v>
      </c>
      <c r="X60" s="45">
        <f t="shared" si="36"/>
        <v>13844.428032550481</v>
      </c>
      <c r="Y60" s="46">
        <f t="shared" si="45"/>
        <v>121.94884361816247</v>
      </c>
      <c r="Z60" s="46">
        <f t="shared" si="46"/>
        <v>6.8849762390567809E-2</v>
      </c>
      <c r="AA60" s="47">
        <f t="shared" ref="AA60:AA79" si="49">((V60+V59)/2)*(Z60-Z59)</f>
        <v>2746.2730275274048</v>
      </c>
      <c r="AF60" s="3"/>
      <c r="AG60" s="3"/>
    </row>
    <row r="61" spans="1:33">
      <c r="A61" s="22">
        <v>152191.1</v>
      </c>
      <c r="B61" s="23">
        <v>10</v>
      </c>
      <c r="C61" s="13">
        <f t="shared" si="37"/>
        <v>304382.2</v>
      </c>
      <c r="D61" s="10">
        <f t="shared" si="25"/>
        <v>99161878.369686738</v>
      </c>
      <c r="E61" s="10">
        <f t="shared" si="26"/>
        <v>99.161878369686733</v>
      </c>
      <c r="F61" s="10">
        <f t="shared" si="38"/>
        <v>147897.40822416631</v>
      </c>
      <c r="G61" s="10">
        <f t="shared" si="39"/>
        <v>147.89740822416633</v>
      </c>
      <c r="H61" s="10">
        <f t="shared" si="40"/>
        <v>15081.394511434688</v>
      </c>
      <c r="I61" s="55">
        <f t="shared" si="41"/>
        <v>126.18041007808401</v>
      </c>
      <c r="J61" s="55">
        <f t="shared" si="42"/>
        <v>9.0104676472351999E-2</v>
      </c>
      <c r="K61" s="52">
        <f t="shared" si="47"/>
        <v>2902.1197169378288</v>
      </c>
      <c r="L61" s="9">
        <f t="shared" si="27"/>
        <v>100758291.74492101</v>
      </c>
      <c r="M61" s="27">
        <f t="shared" si="28"/>
        <v>100.75829174492101</v>
      </c>
      <c r="N61" s="27">
        <f t="shared" si="29"/>
        <v>150286.47626623156</v>
      </c>
      <c r="O61" s="27">
        <f t="shared" si="30"/>
        <v>150.28647626623157</v>
      </c>
      <c r="P61" s="27">
        <f t="shared" si="31"/>
        <v>15325.012557820166</v>
      </c>
      <c r="Q61" s="25">
        <f t="shared" si="43"/>
        <v>126.98907358786224</v>
      </c>
      <c r="R61" s="25">
        <f t="shared" si="44"/>
        <v>8.9809728831925562E-2</v>
      </c>
      <c r="S61" s="27">
        <f t="shared" si="48"/>
        <v>2930.2287342543032</v>
      </c>
      <c r="T61" s="50">
        <f t="shared" si="32"/>
        <v>101618251.00286511</v>
      </c>
      <c r="U61" s="50">
        <f t="shared" si="33"/>
        <v>101.61825100286511</v>
      </c>
      <c r="V61" s="45">
        <f t="shared" si="34"/>
        <v>151573.42437911045</v>
      </c>
      <c r="W61" s="45">
        <f t="shared" si="35"/>
        <v>151.57342437911046</v>
      </c>
      <c r="X61" s="45">
        <f t="shared" si="36"/>
        <v>15456.245230786652</v>
      </c>
      <c r="Y61" s="46">
        <f t="shared" si="45"/>
        <v>127.42150282828483</v>
      </c>
      <c r="Z61" s="46">
        <f t="shared" si="46"/>
        <v>8.9350161786135862E-2</v>
      </c>
      <c r="AA61" s="47">
        <f t="shared" si="49"/>
        <v>2945.2962796525198</v>
      </c>
      <c r="AF61" s="3"/>
      <c r="AG61" s="3"/>
    </row>
    <row r="62" spans="1:33">
      <c r="A62" s="22">
        <v>160549.6</v>
      </c>
      <c r="B62" s="23">
        <v>12.5</v>
      </c>
      <c r="C62" s="13">
        <f t="shared" si="37"/>
        <v>321099.2</v>
      </c>
      <c r="D62" s="10">
        <f t="shared" si="25"/>
        <v>108403847.82528299</v>
      </c>
      <c r="E62" s="10">
        <f t="shared" si="26"/>
        <v>108.40384782528298</v>
      </c>
      <c r="F62" s="10">
        <f t="shared" si="38"/>
        <v>161728.22060311411</v>
      </c>
      <c r="G62" s="10">
        <f t="shared" si="39"/>
        <v>161.72822060311412</v>
      </c>
      <c r="H62" s="10">
        <f t="shared" si="40"/>
        <v>16491.750111340752</v>
      </c>
      <c r="I62" s="55">
        <f t="shared" si="41"/>
        <v>130.75909789934198</v>
      </c>
      <c r="J62" s="55">
        <f t="shared" si="42"/>
        <v>0.10991757768620072</v>
      </c>
      <c r="K62" s="52">
        <f t="shared" si="47"/>
        <v>3067.2909986153495</v>
      </c>
      <c r="L62" s="9">
        <f t="shared" si="27"/>
        <v>110149048.25351617</v>
      </c>
      <c r="M62" s="27">
        <f t="shared" si="28"/>
        <v>110.14904825351616</v>
      </c>
      <c r="N62" s="27">
        <f t="shared" si="29"/>
        <v>164339.95177172738</v>
      </c>
      <c r="O62" s="27">
        <f t="shared" si="30"/>
        <v>164.33995177172739</v>
      </c>
      <c r="P62" s="27">
        <f t="shared" si="31"/>
        <v>16758.073562066584</v>
      </c>
      <c r="Q62" s="25">
        <f t="shared" si="43"/>
        <v>131.59710524911446</v>
      </c>
      <c r="R62" s="25">
        <f t="shared" si="44"/>
        <v>0.10949646194499359</v>
      </c>
      <c r="S62" s="27">
        <f t="shared" si="48"/>
        <v>3096.9832595506</v>
      </c>
      <c r="T62" s="50">
        <f t="shared" si="32"/>
        <v>111089156.4288225</v>
      </c>
      <c r="U62" s="50">
        <f t="shared" si="33"/>
        <v>111.08915642882249</v>
      </c>
      <c r="V62" s="45">
        <f t="shared" si="34"/>
        <v>165746.84451802439</v>
      </c>
      <c r="W62" s="45">
        <f t="shared" si="35"/>
        <v>165.7468445180244</v>
      </c>
      <c r="X62" s="45">
        <f t="shared" si="36"/>
        <v>16901.537229191985</v>
      </c>
      <c r="Y62" s="46">
        <f t="shared" si="45"/>
        <v>132.04522597837777</v>
      </c>
      <c r="Z62" s="46">
        <f t="shared" si="46"/>
        <v>0.10897008420510967</v>
      </c>
      <c r="AA62" s="47">
        <f t="shared" si="49"/>
        <v>3112.8995288648466</v>
      </c>
      <c r="AF62" s="3"/>
      <c r="AG62" s="3"/>
    </row>
    <row r="63" spans="1:33">
      <c r="A63" s="22">
        <v>170059.3</v>
      </c>
      <c r="B63" s="23">
        <v>15</v>
      </c>
      <c r="C63" s="13">
        <f t="shared" si="37"/>
        <v>340118.6</v>
      </c>
      <c r="D63" s="10">
        <f t="shared" si="25"/>
        <v>119315435.26635027</v>
      </c>
      <c r="E63" s="10">
        <f t="shared" si="26"/>
        <v>119.31543526635026</v>
      </c>
      <c r="F63" s="10">
        <f t="shared" si="38"/>
        <v>178057.65334783081</v>
      </c>
      <c r="G63" s="10">
        <f t="shared" si="39"/>
        <v>178.05765334783081</v>
      </c>
      <c r="H63" s="10">
        <f t="shared" si="40"/>
        <v>18156.895027185001</v>
      </c>
      <c r="I63" s="55">
        <f t="shared" si="41"/>
        <v>135.87285109849913</v>
      </c>
      <c r="J63" s="55">
        <f t="shared" si="42"/>
        <v>0.12903670622228541</v>
      </c>
      <c r="K63" s="52">
        <f t="shared" si="47"/>
        <v>3248.2048994069933</v>
      </c>
      <c r="L63" s="9">
        <f t="shared" si="27"/>
        <v>121236302.03352693</v>
      </c>
      <c r="M63" s="27">
        <f t="shared" si="28"/>
        <v>121.23630203352693</v>
      </c>
      <c r="N63" s="27">
        <f t="shared" si="29"/>
        <v>180932.27309088668</v>
      </c>
      <c r="O63" s="27">
        <f t="shared" si="30"/>
        <v>180.9322730908867</v>
      </c>
      <c r="P63" s="27">
        <f t="shared" si="31"/>
        <v>18450.025751623896</v>
      </c>
      <c r="Q63" s="25">
        <f t="shared" si="43"/>
        <v>136.74363140888892</v>
      </c>
      <c r="R63" s="25">
        <f t="shared" si="44"/>
        <v>0.12849384030880698</v>
      </c>
      <c r="S63" s="27">
        <f t="shared" si="48"/>
        <v>3279.6335471153684</v>
      </c>
      <c r="T63" s="50">
        <f t="shared" si="32"/>
        <v>122271038.51552816</v>
      </c>
      <c r="U63" s="50">
        <f t="shared" si="33"/>
        <v>122.27103851552815</v>
      </c>
      <c r="V63" s="45">
        <f t="shared" si="34"/>
        <v>182480.77919805044</v>
      </c>
      <c r="W63" s="45">
        <f t="shared" si="35"/>
        <v>182.48077919805044</v>
      </c>
      <c r="X63" s="45">
        <f t="shared" si="36"/>
        <v>18607.930016383598</v>
      </c>
      <c r="Y63" s="46">
        <f t="shared" si="45"/>
        <v>137.20927733410178</v>
      </c>
      <c r="Z63" s="46">
        <f t="shared" si="46"/>
        <v>0.1279029913320161</v>
      </c>
      <c r="AA63" s="47">
        <f t="shared" si="49"/>
        <v>3296.480629419882</v>
      </c>
      <c r="AF63" s="3"/>
      <c r="AG63" s="3"/>
    </row>
    <row r="64" spans="1:33">
      <c r="A64" s="22">
        <v>179736.9</v>
      </c>
      <c r="B64" s="23">
        <v>17.5</v>
      </c>
      <c r="C64" s="13">
        <f t="shared" si="37"/>
        <v>359473.8</v>
      </c>
      <c r="D64" s="10">
        <f t="shared" si="25"/>
        <v>130845280.63432254</v>
      </c>
      <c r="E64" s="10">
        <f t="shared" si="26"/>
        <v>130.84528063432253</v>
      </c>
      <c r="F64" s="10">
        <f t="shared" si="38"/>
        <v>195312.32279992942</v>
      </c>
      <c r="G64" s="10">
        <f t="shared" si="39"/>
        <v>195.31232279992943</v>
      </c>
      <c r="H64" s="10">
        <f t="shared" si="40"/>
        <v>19916.388180554404</v>
      </c>
      <c r="I64" s="55">
        <f t="shared" si="41"/>
        <v>140.97992064934212</v>
      </c>
      <c r="J64" s="55">
        <f t="shared" si="42"/>
        <v>0.1474362612458836</v>
      </c>
      <c r="K64" s="52">
        <f t="shared" si="47"/>
        <v>3434.9207101451293</v>
      </c>
      <c r="L64" s="9">
        <f t="shared" si="27"/>
        <v>132951767.11405846</v>
      </c>
      <c r="M64" s="27">
        <f t="shared" si="28"/>
        <v>132.95176711405847</v>
      </c>
      <c r="N64" s="27">
        <f t="shared" si="29"/>
        <v>198464.72656191935</v>
      </c>
      <c r="O64" s="27">
        <f t="shared" si="30"/>
        <v>198.46472656191935</v>
      </c>
      <c r="P64" s="27">
        <f t="shared" si="31"/>
        <v>20237.84509697204</v>
      </c>
      <c r="Q64" s="25">
        <f t="shared" si="43"/>
        <v>141.88343108626358</v>
      </c>
      <c r="R64" s="25">
        <f t="shared" si="44"/>
        <v>0.14677622738776741</v>
      </c>
      <c r="S64" s="27">
        <f t="shared" si="48"/>
        <v>3468.1414021244082</v>
      </c>
      <c r="T64" s="50">
        <f t="shared" si="32"/>
        <v>134086493.60663494</v>
      </c>
      <c r="U64" s="50">
        <f t="shared" si="33"/>
        <v>134.08649360663495</v>
      </c>
      <c r="V64" s="45">
        <f t="shared" si="34"/>
        <v>200162.86993878841</v>
      </c>
      <c r="W64" s="45">
        <f t="shared" si="35"/>
        <v>200.16286993878842</v>
      </c>
      <c r="X64" s="45">
        <f t="shared" si="36"/>
        <v>20411.008173398131</v>
      </c>
      <c r="Y64" s="46">
        <f t="shared" si="45"/>
        <v>142.3665793020879</v>
      </c>
      <c r="Z64" s="46">
        <f t="shared" si="46"/>
        <v>0.14612333363374364</v>
      </c>
      <c r="AA64" s="47">
        <f t="shared" si="49"/>
        <v>3485.9491334276663</v>
      </c>
      <c r="AF64" s="3"/>
      <c r="AG64" s="3"/>
    </row>
    <row r="65" spans="1:33">
      <c r="A65" s="22">
        <v>188730.4</v>
      </c>
      <c r="B65" s="23">
        <v>20</v>
      </c>
      <c r="C65" s="13">
        <f t="shared" si="37"/>
        <v>377460.8</v>
      </c>
      <c r="D65" s="10">
        <f t="shared" si="25"/>
        <v>141938132.00479513</v>
      </c>
      <c r="E65" s="10">
        <f t="shared" si="26"/>
        <v>141.93813200479514</v>
      </c>
      <c r="F65" s="10">
        <f t="shared" si="38"/>
        <v>211913.02103743103</v>
      </c>
      <c r="G65" s="10">
        <f t="shared" si="39"/>
        <v>211.91302103743104</v>
      </c>
      <c r="H65" s="10">
        <f t="shared" si="40"/>
        <v>21609.194581228916</v>
      </c>
      <c r="I65" s="55">
        <f t="shared" si="41"/>
        <v>145.64435975134484</v>
      </c>
      <c r="J65" s="55">
        <f t="shared" si="42"/>
        <v>0.16516928300164288</v>
      </c>
      <c r="K65" s="52">
        <f t="shared" si="47"/>
        <v>3610.6679408822324</v>
      </c>
      <c r="L65" s="9">
        <f t="shared" si="27"/>
        <v>144223203.00298119</v>
      </c>
      <c r="M65" s="27">
        <f t="shared" si="28"/>
        <v>144.22320300298117</v>
      </c>
      <c r="N65" s="27">
        <f t="shared" si="29"/>
        <v>215332.68049425268</v>
      </c>
      <c r="O65" s="27">
        <f t="shared" si="30"/>
        <v>215.33268049425268</v>
      </c>
      <c r="P65" s="27">
        <f t="shared" si="31"/>
        <v>21957.904095359932</v>
      </c>
      <c r="Q65" s="25">
        <f t="shared" si="43"/>
        <v>146.57776359004723</v>
      </c>
      <c r="R65" s="25">
        <f t="shared" si="44"/>
        <v>0.16439632566746032</v>
      </c>
      <c r="S65" s="27">
        <f t="shared" si="48"/>
        <v>3645.5754901059213</v>
      </c>
      <c r="T65" s="50">
        <f t="shared" si="32"/>
        <v>145454129.77322406</v>
      </c>
      <c r="U65" s="50">
        <f t="shared" si="33"/>
        <v>145.45412977322405</v>
      </c>
      <c r="V65" s="45">
        <f t="shared" si="34"/>
        <v>217174.78972143092</v>
      </c>
      <c r="W65" s="45">
        <f t="shared" si="35"/>
        <v>217.17478972143093</v>
      </c>
      <c r="X65" s="45">
        <f t="shared" si="36"/>
        <v>22145.747657473752</v>
      </c>
      <c r="Y65" s="46">
        <f t="shared" si="45"/>
        <v>147.07689717045113</v>
      </c>
      <c r="Z65" s="46">
        <f t="shared" si="46"/>
        <v>0.16368363473991299</v>
      </c>
      <c r="AA65" s="47">
        <f t="shared" si="49"/>
        <v>3664.2874832887387</v>
      </c>
      <c r="AF65" s="3"/>
      <c r="AG65" s="3"/>
    </row>
    <row r="66" spans="1:33">
      <c r="A66" s="22">
        <v>197021.9</v>
      </c>
      <c r="B66" s="23">
        <v>22.5</v>
      </c>
      <c r="C66" s="13">
        <f t="shared" si="37"/>
        <v>394043.8</v>
      </c>
      <c r="D66" s="10">
        <f t="shared" si="25"/>
        <v>152482553.54879963</v>
      </c>
      <c r="E66" s="10">
        <f t="shared" si="26"/>
        <v>152.48255354879961</v>
      </c>
      <c r="F66" s="10">
        <f t="shared" si="38"/>
        <v>227692.98186941072</v>
      </c>
      <c r="G66" s="10">
        <f t="shared" si="39"/>
        <v>227.69298186941072</v>
      </c>
      <c r="H66" s="10">
        <f t="shared" si="40"/>
        <v>23218.308747187548</v>
      </c>
      <c r="I66" s="55">
        <f t="shared" si="41"/>
        <v>149.87945288701226</v>
      </c>
      <c r="J66" s="55">
        <f t="shared" si="42"/>
        <v>0.18233438300461033</v>
      </c>
      <c r="K66" s="52">
        <f t="shared" si="47"/>
        <v>3772.9405009003685</v>
      </c>
      <c r="L66" s="9">
        <f t="shared" si="27"/>
        <v>154937379.85884309</v>
      </c>
      <c r="M66" s="27">
        <f t="shared" si="28"/>
        <v>154.93737985884309</v>
      </c>
      <c r="N66" s="27">
        <f t="shared" si="29"/>
        <v>231366.68391746905</v>
      </c>
      <c r="O66" s="27">
        <f t="shared" si="30"/>
        <v>231.36668391746906</v>
      </c>
      <c r="P66" s="27">
        <f t="shared" si="31"/>
        <v>23592.923492432154</v>
      </c>
      <c r="Q66" s="25">
        <f t="shared" si="43"/>
        <v>150.83999854017881</v>
      </c>
      <c r="R66" s="25">
        <f t="shared" si="44"/>
        <v>0.18145211870706535</v>
      </c>
      <c r="S66" s="27">
        <f t="shared" si="48"/>
        <v>3809.4059551647165</v>
      </c>
      <c r="T66" s="50">
        <f t="shared" si="32"/>
        <v>156259750.77148685</v>
      </c>
      <c r="U66" s="50">
        <f t="shared" si="33"/>
        <v>156.25975077148684</v>
      </c>
      <c r="V66" s="45">
        <f t="shared" si="34"/>
        <v>233345.64133298813</v>
      </c>
      <c r="W66" s="45">
        <f t="shared" si="35"/>
        <v>233.34564133298815</v>
      </c>
      <c r="X66" s="45">
        <f t="shared" si="36"/>
        <v>23794.721738007465</v>
      </c>
      <c r="Y66" s="46">
        <f t="shared" si="45"/>
        <v>151.35364608599636</v>
      </c>
      <c r="Z66" s="46">
        <f t="shared" si="46"/>
        <v>0.18068154568375541</v>
      </c>
      <c r="AA66" s="47">
        <f t="shared" si="49"/>
        <v>3828.9530827222579</v>
      </c>
      <c r="AF66" s="3"/>
      <c r="AG66" s="3"/>
    </row>
    <row r="67" spans="1:33">
      <c r="A67" s="23">
        <v>204713.5</v>
      </c>
      <c r="B67" s="23">
        <v>25</v>
      </c>
      <c r="C67" s="13">
        <f>A67*2</f>
        <v>409427</v>
      </c>
      <c r="D67" s="10">
        <f t="shared" si="25"/>
        <v>162532465.72045308</v>
      </c>
      <c r="E67" s="10">
        <f t="shared" si="26"/>
        <v>162.53246572045308</v>
      </c>
      <c r="F67" s="10">
        <f t="shared" si="38"/>
        <v>242732.89845200404</v>
      </c>
      <c r="G67" s="10">
        <f t="shared" si="39"/>
        <v>242.73289845200404</v>
      </c>
      <c r="H67" s="10">
        <f t="shared" si="40"/>
        <v>24751.959120947755</v>
      </c>
      <c r="I67" s="55">
        <f t="shared" si="41"/>
        <v>153.75529687402286</v>
      </c>
      <c r="J67" s="55">
        <f t="shared" si="42"/>
        <v>0.19901445456775277</v>
      </c>
      <c r="K67" s="52">
        <f t="shared" si="47"/>
        <v>3923.3686744577399</v>
      </c>
      <c r="L67" s="9">
        <f t="shared" si="27"/>
        <v>165149086.20457366</v>
      </c>
      <c r="M67" s="27">
        <f t="shared" si="28"/>
        <v>165.14908620457365</v>
      </c>
      <c r="N67" s="27">
        <f t="shared" si="29"/>
        <v>246648.72907194504</v>
      </c>
      <c r="O67" s="27">
        <f t="shared" si="30"/>
        <v>246.64872907194504</v>
      </c>
      <c r="P67" s="27">
        <f t="shared" si="31"/>
        <v>25151.264200924379</v>
      </c>
      <c r="Q67" s="25">
        <f t="shared" si="43"/>
        <v>154.74068198998677</v>
      </c>
      <c r="R67" s="25">
        <f t="shared" si="44"/>
        <v>0.19802597195683241</v>
      </c>
      <c r="S67" s="27">
        <f t="shared" si="48"/>
        <v>3961.2786530066737</v>
      </c>
      <c r="T67" s="50">
        <f t="shared" si="32"/>
        <v>166558612.73745802</v>
      </c>
      <c r="U67" s="50">
        <f t="shared" si="33"/>
        <v>166.55861273745802</v>
      </c>
      <c r="V67" s="45">
        <f t="shared" si="34"/>
        <v>248758.11680722568</v>
      </c>
      <c r="W67" s="45">
        <f t="shared" si="35"/>
        <v>248.75811680722569</v>
      </c>
      <c r="X67" s="45">
        <f t="shared" si="36"/>
        <v>25366.362687066416</v>
      </c>
      <c r="Y67" s="46">
        <f t="shared" si="45"/>
        <v>155.26761232883268</v>
      </c>
      <c r="Z67" s="46">
        <f t="shared" si="46"/>
        <v>0.19719915239261226</v>
      </c>
      <c r="AA67" s="47">
        <f t="shared" si="49"/>
        <v>3981.6001349109483</v>
      </c>
      <c r="AF67" s="3"/>
      <c r="AG67" s="3"/>
    </row>
    <row r="68" spans="1:33">
      <c r="A68" s="23">
        <v>213098.4</v>
      </c>
      <c r="B68" s="23">
        <v>27.5</v>
      </c>
      <c r="C68" s="13">
        <f>A68*2</f>
        <v>426196.8</v>
      </c>
      <c r="D68" s="10">
        <f t="shared" si="25"/>
        <v>173778602.19813076</v>
      </c>
      <c r="E68" s="10">
        <f t="shared" si="26"/>
        <v>173.77860219813076</v>
      </c>
      <c r="F68" s="10">
        <f t="shared" si="38"/>
        <v>259562.99125398963</v>
      </c>
      <c r="G68" s="10">
        <f t="shared" si="39"/>
        <v>259.56299125398965</v>
      </c>
      <c r="H68" s="10">
        <f t="shared" si="40"/>
        <v>26468.15734415183</v>
      </c>
      <c r="I68" s="55">
        <f t="shared" si="41"/>
        <v>157.92560758950137</v>
      </c>
      <c r="J68" s="55">
        <f t="shared" si="42"/>
        <v>0.21527405700634933</v>
      </c>
      <c r="K68" s="52">
        <f t="shared" si="47"/>
        <v>4083.5657365803017</v>
      </c>
      <c r="L68" s="9">
        <f t="shared" si="27"/>
        <v>176576274.94737431</v>
      </c>
      <c r="M68" s="27">
        <f t="shared" si="28"/>
        <v>176.57627494737432</v>
      </c>
      <c r="N68" s="27">
        <f t="shared" si="29"/>
        <v>263749.77060642012</v>
      </c>
      <c r="O68" s="27">
        <f t="shared" si="30"/>
        <v>263.7497706064201</v>
      </c>
      <c r="P68" s="27">
        <f t="shared" si="31"/>
        <v>26895.091608277868</v>
      </c>
      <c r="Q68" s="25">
        <f t="shared" si="43"/>
        <v>158.93771934312605</v>
      </c>
      <c r="R68" s="25">
        <f t="shared" si="44"/>
        <v>0.21418203361980076</v>
      </c>
      <c r="S68" s="27">
        <f t="shared" si="48"/>
        <v>4123.0148167450989</v>
      </c>
      <c r="T68" s="50">
        <f t="shared" si="32"/>
        <v>178083331.08880526</v>
      </c>
      <c r="U68" s="50">
        <f t="shared" si="33"/>
        <v>178.08333108880524</v>
      </c>
      <c r="V68" s="45">
        <f t="shared" si="34"/>
        <v>266005.11356517114</v>
      </c>
      <c r="W68" s="45">
        <f t="shared" si="35"/>
        <v>266.00511356517114</v>
      </c>
      <c r="X68" s="45">
        <f t="shared" si="36"/>
        <v>27125.07344046763</v>
      </c>
      <c r="Y68" s="46">
        <f t="shared" si="45"/>
        <v>159.47894163342409</v>
      </c>
      <c r="Z68" s="46">
        <f t="shared" si="46"/>
        <v>0.21330038537032681</v>
      </c>
      <c r="AA68" s="47">
        <f t="shared" si="49"/>
        <v>4144.1613502934515</v>
      </c>
      <c r="AF68" s="3"/>
      <c r="AG68" s="3"/>
    </row>
    <row r="69" spans="1:33">
      <c r="A69" s="23">
        <v>221700.2</v>
      </c>
      <c r="B69" s="23">
        <v>30</v>
      </c>
      <c r="C69" s="13">
        <f>A69*2</f>
        <v>443400.4</v>
      </c>
      <c r="D69" s="10">
        <f t="shared" si="25"/>
        <v>185626279.22739738</v>
      </c>
      <c r="E69" s="10">
        <f t="shared" si="26"/>
        <v>185.62627922739736</v>
      </c>
      <c r="F69" s="10">
        <f t="shared" si="38"/>
        <v>277293.30284022121</v>
      </c>
      <c r="G69" s="10">
        <f t="shared" si="39"/>
        <v>277.2933028402212</v>
      </c>
      <c r="H69" s="10">
        <f t="shared" si="40"/>
        <v>28276.152677223035</v>
      </c>
      <c r="I69" s="55">
        <f t="shared" si="41"/>
        <v>162.14733696839829</v>
      </c>
      <c r="J69" s="55">
        <f t="shared" si="42"/>
        <v>0.23110429529486232</v>
      </c>
      <c r="K69" s="52">
        <f t="shared" si="47"/>
        <v>4249.281531099683</v>
      </c>
      <c r="L69" s="9">
        <f t="shared" si="27"/>
        <v>188614688.48129314</v>
      </c>
      <c r="M69" s="27">
        <f t="shared" si="28"/>
        <v>188.61468848129314</v>
      </c>
      <c r="N69" s="27">
        <f t="shared" si="29"/>
        <v>281765.52360449953</v>
      </c>
      <c r="O69" s="27">
        <f t="shared" si="30"/>
        <v>281.76552360449955</v>
      </c>
      <c r="P69" s="27">
        <f t="shared" si="31"/>
        <v>28732.193972998026</v>
      </c>
      <c r="Q69" s="25">
        <f t="shared" si="43"/>
        <v>163.18650489100162</v>
      </c>
      <c r="R69" s="25">
        <f t="shared" si="44"/>
        <v>0.2299114653137514</v>
      </c>
      <c r="S69" s="27">
        <f t="shared" si="48"/>
        <v>4290.3227791480222</v>
      </c>
      <c r="T69" s="50">
        <f t="shared" si="32"/>
        <v>190224490.95744425</v>
      </c>
      <c r="U69" s="50">
        <f t="shared" si="33"/>
        <v>190.22449095744423</v>
      </c>
      <c r="V69" s="45">
        <f t="shared" si="34"/>
        <v>284174.6287332045</v>
      </c>
      <c r="W69" s="45">
        <f t="shared" si="35"/>
        <v>284.17462873320449</v>
      </c>
      <c r="X69" s="45">
        <f t="shared" si="36"/>
        <v>28977.855241182326</v>
      </c>
      <c r="Y69" s="46">
        <f t="shared" si="45"/>
        <v>163.74219534816851</v>
      </c>
      <c r="Z69" s="46">
        <f t="shared" si="46"/>
        <v>0.22897643622942054</v>
      </c>
      <c r="AA69" s="47">
        <f t="shared" si="49"/>
        <v>4312.3228109562106</v>
      </c>
      <c r="AF69" s="3"/>
      <c r="AG69" s="3"/>
    </row>
    <row r="70" spans="1:33">
      <c r="A70" s="23">
        <v>230398.2</v>
      </c>
      <c r="B70" s="23">
        <v>32.5</v>
      </c>
      <c r="C70" s="13">
        <f t="shared" ref="C70:C76" si="50">A70*2</f>
        <v>460796.4</v>
      </c>
      <c r="D70" s="10">
        <f t="shared" si="25"/>
        <v>197922174.8094357</v>
      </c>
      <c r="E70" s="10">
        <f t="shared" si="26"/>
        <v>197.92217480943569</v>
      </c>
      <c r="F70" s="10">
        <f t="shared" si="38"/>
        <v>295694.38343709859</v>
      </c>
      <c r="G70" s="10">
        <f t="shared" si="39"/>
        <v>295.69438343709857</v>
      </c>
      <c r="H70" s="10">
        <f t="shared" si="40"/>
        <v>30152.547667847812</v>
      </c>
      <c r="I70" s="55">
        <f t="shared" si="41"/>
        <v>166.36111342626015</v>
      </c>
      <c r="J70" s="55">
        <f t="shared" si="42"/>
        <v>0.24652237151332798</v>
      </c>
      <c r="K70" s="52">
        <f t="shared" si="47"/>
        <v>4417.183909633005</v>
      </c>
      <c r="L70" s="9">
        <f t="shared" si="27"/>
        <v>201108536.46692094</v>
      </c>
      <c r="M70" s="27">
        <f t="shared" si="28"/>
        <v>201.10853646692092</v>
      </c>
      <c r="N70" s="27">
        <f t="shared" si="29"/>
        <v>300462.84436611255</v>
      </c>
      <c r="O70" s="27">
        <f t="shared" si="30"/>
        <v>300.46284436611256</v>
      </c>
      <c r="P70" s="27">
        <f t="shared" si="31"/>
        <v>30638.797165701228</v>
      </c>
      <c r="Q70" s="25">
        <f t="shared" si="43"/>
        <v>167.42728654925682</v>
      </c>
      <c r="R70" s="25">
        <f t="shared" si="44"/>
        <v>0.24523135957626926</v>
      </c>
      <c r="S70" s="27">
        <f t="shared" si="48"/>
        <v>4459.8385169740613</v>
      </c>
      <c r="T70" s="50">
        <f t="shared" si="32"/>
        <v>202824972.3531512</v>
      </c>
      <c r="U70" s="50">
        <f t="shared" si="33"/>
        <v>202.8249723531512</v>
      </c>
      <c r="V70" s="45">
        <f t="shared" si="34"/>
        <v>303031.5287593042</v>
      </c>
      <c r="W70" s="45">
        <f t="shared" si="35"/>
        <v>303.03152875930419</v>
      </c>
      <c r="X70" s="45">
        <f t="shared" si="36"/>
        <v>30900.731050643764</v>
      </c>
      <c r="Y70" s="46">
        <f t="shared" si="45"/>
        <v>167.99741791806616</v>
      </c>
      <c r="Z70" s="46">
        <f t="shared" si="46"/>
        <v>0.244244339500683</v>
      </c>
      <c r="AA70" s="47">
        <f t="shared" si="49"/>
        <v>4482.7034064426653</v>
      </c>
      <c r="AF70" s="3"/>
      <c r="AG70" s="3"/>
    </row>
    <row r="71" spans="1:33">
      <c r="A71" s="23">
        <v>227464.6</v>
      </c>
      <c r="B71" s="23">
        <v>35</v>
      </c>
      <c r="C71" s="13">
        <f t="shared" si="50"/>
        <v>454929.2</v>
      </c>
      <c r="D71" s="10">
        <f t="shared" si="25"/>
        <v>193739874.50281304</v>
      </c>
      <c r="E71" s="10">
        <f t="shared" si="26"/>
        <v>193.73987450281302</v>
      </c>
      <c r="F71" s="10">
        <f t="shared" si="38"/>
        <v>289435.47821876465</v>
      </c>
      <c r="G71" s="10">
        <f t="shared" si="39"/>
        <v>289.43547821876467</v>
      </c>
      <c r="H71" s="10">
        <f t="shared" si="40"/>
        <v>29514.314584923868</v>
      </c>
      <c r="I71" s="55">
        <f t="shared" si="41"/>
        <v>164.94594455306517</v>
      </c>
      <c r="J71" s="55">
        <f t="shared" si="42"/>
        <v>0.26154992181346548</v>
      </c>
      <c r="K71" s="52">
        <f t="shared" si="47"/>
        <v>4396.5342140729899</v>
      </c>
      <c r="L71" s="9">
        <f t="shared" si="27"/>
        <v>196858905.04214495</v>
      </c>
      <c r="M71" s="27">
        <f t="shared" si="28"/>
        <v>196.85890504214495</v>
      </c>
      <c r="N71" s="27">
        <f t="shared" si="29"/>
        <v>294103.17663531663</v>
      </c>
      <c r="O71" s="27">
        <f t="shared" si="30"/>
        <v>294.10317663531663</v>
      </c>
      <c r="P71" s="27">
        <f t="shared" si="31"/>
        <v>29990.289127856504</v>
      </c>
      <c r="Q71" s="25">
        <f t="shared" si="43"/>
        <v>166.00304815863637</v>
      </c>
      <c r="R71" s="25">
        <f t="shared" si="44"/>
        <v>0.26016321478055526</v>
      </c>
      <c r="S71" s="27">
        <f t="shared" si="48"/>
        <v>4438.9868674909039</v>
      </c>
      <c r="T71" s="50">
        <f t="shared" si="32"/>
        <v>198539070.86242607</v>
      </c>
      <c r="U71" s="50">
        <f t="shared" si="33"/>
        <v>198.53907086242606</v>
      </c>
      <c r="V71" s="45">
        <f t="shared" si="34"/>
        <v>296617.58206994593</v>
      </c>
      <c r="W71" s="45">
        <f t="shared" si="35"/>
        <v>296.61758206994591</v>
      </c>
      <c r="X71" s="45">
        <f t="shared" si="36"/>
        <v>30246.688078836523</v>
      </c>
      <c r="Y71" s="46">
        <f t="shared" si="45"/>
        <v>166.56832964305801</v>
      </c>
      <c r="Z71" s="46">
        <f t="shared" si="46"/>
        <v>0.25912552059847388</v>
      </c>
      <c r="AA71" s="47">
        <f t="shared" si="49"/>
        <v>4461.7435066896733</v>
      </c>
      <c r="AF71" s="3"/>
      <c r="AG71" s="3"/>
    </row>
    <row r="72" spans="1:33">
      <c r="A72" s="23">
        <v>232761.2</v>
      </c>
      <c r="B72" s="23">
        <v>37.5</v>
      </c>
      <c r="C72" s="13">
        <f t="shared" si="50"/>
        <v>465522.4</v>
      </c>
      <c r="D72" s="10">
        <f t="shared" si="25"/>
        <v>201316929.22564602</v>
      </c>
      <c r="E72" s="10">
        <f t="shared" si="26"/>
        <v>201.31692922564602</v>
      </c>
      <c r="F72" s="10">
        <f t="shared" si="38"/>
        <v>300774.70875399071</v>
      </c>
      <c r="G72" s="10">
        <f t="shared" si="39"/>
        <v>300.77470875399069</v>
      </c>
      <c r="H72" s="10">
        <f t="shared" si="40"/>
        <v>30670.598601061938</v>
      </c>
      <c r="I72" s="55">
        <f t="shared" si="41"/>
        <v>167.49666161292589</v>
      </c>
      <c r="J72" s="55">
        <f t="shared" si="42"/>
        <v>0.27670640236091976</v>
      </c>
      <c r="K72" s="52">
        <f t="shared" si="47"/>
        <v>4472.7546088809586</v>
      </c>
      <c r="L72" s="9">
        <f t="shared" si="27"/>
        <v>204557943.24999619</v>
      </c>
      <c r="M72" s="27">
        <f t="shared" si="28"/>
        <v>204.55794324999619</v>
      </c>
      <c r="N72" s="27">
        <f t="shared" si="29"/>
        <v>305624.95816280937</v>
      </c>
      <c r="O72" s="27">
        <f t="shared" si="30"/>
        <v>305.62495816280938</v>
      </c>
      <c r="P72" s="27">
        <f t="shared" si="31"/>
        <v>31165.188233777997</v>
      </c>
      <c r="Q72" s="25">
        <f t="shared" si="43"/>
        <v>168.57011222362118</v>
      </c>
      <c r="R72" s="25">
        <f t="shared" si="44"/>
        <v>0.27522317920729844</v>
      </c>
      <c r="S72" s="27">
        <f t="shared" si="48"/>
        <v>4515.9421878884077</v>
      </c>
      <c r="T72" s="50">
        <f t="shared" si="32"/>
        <v>206303819.38621628</v>
      </c>
      <c r="U72" s="50">
        <f t="shared" si="33"/>
        <v>206.30381938621628</v>
      </c>
      <c r="V72" s="45">
        <f t="shared" si="34"/>
        <v>308237.70054341969</v>
      </c>
      <c r="W72" s="45">
        <f t="shared" si="35"/>
        <v>308.23770054341969</v>
      </c>
      <c r="X72" s="45">
        <f t="shared" si="36"/>
        <v>31431.614799813589</v>
      </c>
      <c r="Y72" s="46">
        <f t="shared" si="45"/>
        <v>169.14413519683666</v>
      </c>
      <c r="Z72" s="46">
        <f t="shared" si="46"/>
        <v>0.2741343761555734</v>
      </c>
      <c r="AA72" s="47">
        <f t="shared" si="49"/>
        <v>4539.092784846307</v>
      </c>
      <c r="AF72" s="3"/>
      <c r="AG72" s="3"/>
    </row>
    <row r="73" spans="1:33">
      <c r="A73" s="23">
        <v>226542.2</v>
      </c>
      <c r="B73" s="23">
        <v>40</v>
      </c>
      <c r="C73" s="13">
        <f t="shared" si="50"/>
        <v>453084.4</v>
      </c>
      <c r="D73" s="10">
        <f t="shared" si="25"/>
        <v>192432242.51201797</v>
      </c>
      <c r="E73" s="10">
        <f t="shared" si="26"/>
        <v>192.43224251201795</v>
      </c>
      <c r="F73" s="10">
        <f t="shared" si="38"/>
        <v>287478.57792686363</v>
      </c>
      <c r="G73" s="10">
        <f t="shared" si="39"/>
        <v>287.47857792686364</v>
      </c>
      <c r="H73" s="10">
        <f t="shared" si="40"/>
        <v>29314.765548358137</v>
      </c>
      <c r="I73" s="55">
        <f t="shared" si="41"/>
        <v>164.49972375236149</v>
      </c>
      <c r="J73" s="55">
        <f t="shared" si="42"/>
        <v>0.29163207297385019</v>
      </c>
      <c r="K73" s="52">
        <f t="shared" si="47"/>
        <v>4390.0373969860839</v>
      </c>
      <c r="L73" s="9">
        <f t="shared" si="27"/>
        <v>195530221.40091416</v>
      </c>
      <c r="M73" s="27">
        <f t="shared" si="28"/>
        <v>195.53022140091414</v>
      </c>
      <c r="N73" s="27">
        <f t="shared" si="29"/>
        <v>292114.77208138106</v>
      </c>
      <c r="O73" s="27">
        <f t="shared" si="30"/>
        <v>292.11477208138109</v>
      </c>
      <c r="P73" s="27">
        <f t="shared" si="31"/>
        <v>29787.527538682592</v>
      </c>
      <c r="Q73" s="25">
        <f t="shared" si="43"/>
        <v>165.55396762337793</v>
      </c>
      <c r="R73" s="25">
        <f t="shared" si="44"/>
        <v>0.29005380349189025</v>
      </c>
      <c r="S73" s="27">
        <f t="shared" si="48"/>
        <v>4432.4266796124239</v>
      </c>
      <c r="T73" s="50">
        <f t="shared" si="32"/>
        <v>197199047.07460845</v>
      </c>
      <c r="U73" s="50">
        <f t="shared" si="33"/>
        <v>197.19904707460844</v>
      </c>
      <c r="V73" s="45">
        <f t="shared" si="34"/>
        <v>294612.2067349939</v>
      </c>
      <c r="W73" s="45">
        <f t="shared" si="35"/>
        <v>294.61220673499389</v>
      </c>
      <c r="X73" s="45">
        <f t="shared" si="36"/>
        <v>30042.195945180796</v>
      </c>
      <c r="Y73" s="46">
        <f t="shared" si="45"/>
        <v>166.11771987737609</v>
      </c>
      <c r="Z73" s="46">
        <f t="shared" si="46"/>
        <v>0.28891466988015746</v>
      </c>
      <c r="AA73" s="47">
        <f t="shared" si="49"/>
        <v>4455.1493507066098</v>
      </c>
      <c r="AF73" s="3"/>
      <c r="AG73" s="3"/>
    </row>
    <row r="74" spans="1:33">
      <c r="A74" s="23">
        <v>230573.3</v>
      </c>
      <c r="B74" s="23">
        <v>42.5</v>
      </c>
      <c r="C74" s="13">
        <f t="shared" si="50"/>
        <v>461146.6</v>
      </c>
      <c r="D74" s="10">
        <f t="shared" si="25"/>
        <v>198172935.96627828</v>
      </c>
      <c r="E74" s="10">
        <f t="shared" si="26"/>
        <v>198.17293596627829</v>
      </c>
      <c r="F74" s="10">
        <f t="shared" si="38"/>
        <v>296069.65307295718</v>
      </c>
      <c r="G74" s="10">
        <f t="shared" si="39"/>
        <v>296.06965307295718</v>
      </c>
      <c r="H74" s="10">
        <f t="shared" si="40"/>
        <v>30190.814663155586</v>
      </c>
      <c r="I74" s="55">
        <f t="shared" si="41"/>
        <v>166.445391117329</v>
      </c>
      <c r="J74" s="55">
        <f t="shared" si="42"/>
        <v>0.30682966688448499</v>
      </c>
      <c r="K74" s="52">
        <f t="shared" si="47"/>
        <v>4434.2645210022929</v>
      </c>
      <c r="L74" s="9">
        <f t="shared" si="27"/>
        <v>201363334.64354655</v>
      </c>
      <c r="M74" s="27">
        <f t="shared" si="28"/>
        <v>201.36333464354655</v>
      </c>
      <c r="N74" s="27">
        <f t="shared" si="29"/>
        <v>300844.15549166198</v>
      </c>
      <c r="O74" s="27">
        <f t="shared" si="30"/>
        <v>300.84415549166198</v>
      </c>
      <c r="P74" s="27">
        <f t="shared" si="31"/>
        <v>30677.680223795753</v>
      </c>
      <c r="Q74" s="25">
        <f t="shared" si="43"/>
        <v>167.51210435818854</v>
      </c>
      <c r="R74" s="25">
        <f t="shared" si="44"/>
        <v>0.30515461947285966</v>
      </c>
      <c r="S74" s="27">
        <f t="shared" si="48"/>
        <v>4477.0818247767447</v>
      </c>
      <c r="T74" s="50">
        <f t="shared" si="32"/>
        <v>203081945.19994146</v>
      </c>
      <c r="U74" s="50">
        <f t="shared" si="33"/>
        <v>203.08194519994146</v>
      </c>
      <c r="V74" s="45">
        <f t="shared" si="34"/>
        <v>303416.09432701312</v>
      </c>
      <c r="W74" s="45">
        <f t="shared" si="35"/>
        <v>303.41609432701313</v>
      </c>
      <c r="X74" s="45">
        <f t="shared" si="36"/>
        <v>30939.94597071418</v>
      </c>
      <c r="Y74" s="46">
        <f t="shared" si="45"/>
        <v>168.08252455263977</v>
      </c>
      <c r="Z74" s="46">
        <f t="shared" si="46"/>
        <v>0.30396423835392072</v>
      </c>
      <c r="AA74" s="47">
        <f t="shared" si="49"/>
        <v>4500.0339330404931</v>
      </c>
      <c r="AF74" s="3"/>
      <c r="AG74" s="3"/>
    </row>
    <row r="75" spans="1:33">
      <c r="A75" s="23">
        <v>234394.8</v>
      </c>
      <c r="B75" s="22">
        <v>45</v>
      </c>
      <c r="C75" s="13">
        <f t="shared" si="50"/>
        <v>468789.6</v>
      </c>
      <c r="D75" s="10">
        <f t="shared" si="25"/>
        <v>203677289.0798471</v>
      </c>
      <c r="E75" s="10">
        <f t="shared" si="26"/>
        <v>203.6772890798471</v>
      </c>
      <c r="F75" s="10">
        <f t="shared" si="38"/>
        <v>304307.03965457465</v>
      </c>
      <c r="G75" s="10">
        <f t="shared" si="39"/>
        <v>304.30703965457468</v>
      </c>
      <c r="H75" s="10">
        <f t="shared" si="40"/>
        <v>31030.797447656289</v>
      </c>
      <c r="I75" s="55">
        <f t="shared" si="41"/>
        <v>168.27944808388887</v>
      </c>
      <c r="J75" s="55">
        <f t="shared" si="42"/>
        <v>0.32184960815902425</v>
      </c>
      <c r="K75" s="52">
        <f t="shared" si="47"/>
        <v>4508.8113336848146</v>
      </c>
      <c r="L75" s="9">
        <f t="shared" si="27"/>
        <v>206956302.68733841</v>
      </c>
      <c r="M75" s="27">
        <f t="shared" si="28"/>
        <v>206.95630268733839</v>
      </c>
      <c r="N75" s="27">
        <f t="shared" si="29"/>
        <v>309214.15628281323</v>
      </c>
      <c r="O75" s="27">
        <f t="shared" si="30"/>
        <v>309.21415628281324</v>
      </c>
      <c r="P75" s="27">
        <f t="shared" si="31"/>
        <v>31531.185944471028</v>
      </c>
      <c r="Q75" s="25">
        <f t="shared" si="43"/>
        <v>169.35791540719893</v>
      </c>
      <c r="R75" s="25">
        <f t="shared" si="44"/>
        <v>0.32007891410564804</v>
      </c>
      <c r="S75" s="27">
        <f t="shared" si="48"/>
        <v>4552.3449940518713</v>
      </c>
      <c r="T75" s="50">
        <f t="shared" si="32"/>
        <v>208722648.51757947</v>
      </c>
      <c r="U75" s="50">
        <f t="shared" si="33"/>
        <v>208.72264851757944</v>
      </c>
      <c r="V75" s="45">
        <f t="shared" si="34"/>
        <v>311857.53201476915</v>
      </c>
      <c r="W75" s="45">
        <f t="shared" si="35"/>
        <v>311.85753201476916</v>
      </c>
      <c r="X75" s="45">
        <f t="shared" si="36"/>
        <v>31800.736254610038</v>
      </c>
      <c r="Y75" s="46">
        <f t="shared" si="45"/>
        <v>169.93462104532949</v>
      </c>
      <c r="Z75" s="46">
        <f t="shared" si="46"/>
        <v>0.3188378845384594</v>
      </c>
      <c r="AA75" s="47">
        <f t="shared" si="49"/>
        <v>4575.6811124428641</v>
      </c>
      <c r="AF75" s="3"/>
      <c r="AG75" s="3"/>
    </row>
    <row r="76" spans="1:33">
      <c r="A76" s="23">
        <v>205818</v>
      </c>
      <c r="B76" s="23">
        <v>47.5</v>
      </c>
      <c r="C76" s="13">
        <f t="shared" si="50"/>
        <v>411636</v>
      </c>
      <c r="D76" s="10">
        <f t="shared" si="25"/>
        <v>163996623.90125641</v>
      </c>
      <c r="E76" s="10">
        <f t="shared" si="26"/>
        <v>163.99662390125641</v>
      </c>
      <c r="F76" s="10">
        <f t="shared" si="38"/>
        <v>244924.04366072686</v>
      </c>
      <c r="G76" s="10">
        <f t="shared" si="39"/>
        <v>244.92404366072688</v>
      </c>
      <c r="H76" s="10">
        <f t="shared" si="40"/>
        <v>24975.39458017164</v>
      </c>
      <c r="I76" s="55">
        <f t="shared" si="41"/>
        <v>154.30784268961236</v>
      </c>
      <c r="J76" s="55">
        <f t="shared" si="42"/>
        <v>0.33670584894461159</v>
      </c>
      <c r="K76" s="52">
        <f t="shared" si="47"/>
        <v>4079.7546103305494</v>
      </c>
      <c r="L76" s="9">
        <f t="shared" si="27"/>
        <v>166636815.96088284</v>
      </c>
      <c r="M76" s="27">
        <f t="shared" si="28"/>
        <v>166.63681596088284</v>
      </c>
      <c r="N76" s="27">
        <f t="shared" si="29"/>
        <v>248875.14966648951</v>
      </c>
      <c r="O76" s="27">
        <f t="shared" si="30"/>
        <v>248.87514966648951</v>
      </c>
      <c r="P76" s="27">
        <f t="shared" si="31"/>
        <v>25378.296761791265</v>
      </c>
      <c r="Q76" s="25">
        <f t="shared" si="43"/>
        <v>155.29676895462049</v>
      </c>
      <c r="R76" s="25">
        <f t="shared" si="44"/>
        <v>0.33484055069044583</v>
      </c>
      <c r="S76" s="27">
        <f t="shared" si="48"/>
        <v>4119.1557581428169</v>
      </c>
      <c r="T76" s="50">
        <f t="shared" si="32"/>
        <v>168059040.07880068</v>
      </c>
      <c r="U76" s="50">
        <f t="shared" si="33"/>
        <v>168.05904007880068</v>
      </c>
      <c r="V76" s="45">
        <f t="shared" si="34"/>
        <v>251003.53961954493</v>
      </c>
      <c r="W76" s="45">
        <f t="shared" si="35"/>
        <v>251.00353961954494</v>
      </c>
      <c r="X76" s="45">
        <f t="shared" si="36"/>
        <v>25595.332942084235</v>
      </c>
      <c r="Y76" s="46">
        <f t="shared" si="45"/>
        <v>155.82559290727841</v>
      </c>
      <c r="Z76" s="46">
        <f t="shared" si="46"/>
        <v>0.33354942468620324</v>
      </c>
      <c r="AA76" s="47">
        <f t="shared" si="49"/>
        <v>4140.2766264751663</v>
      </c>
      <c r="AF76" s="3"/>
      <c r="AG76" s="3"/>
    </row>
    <row r="77" spans="1:33">
      <c r="A77" s="23"/>
      <c r="B77" s="23">
        <v>50</v>
      </c>
      <c r="C77" s="13">
        <f>255.2*816.6</f>
        <v>208396.32</v>
      </c>
      <c r="D77" s="10">
        <f t="shared" si="25"/>
        <v>52738697.699653134</v>
      </c>
      <c r="E77" s="10">
        <f t="shared" si="26"/>
        <v>52.73869769965313</v>
      </c>
      <c r="F77" s="10">
        <f t="shared" si="38"/>
        <v>78424.088174137156</v>
      </c>
      <c r="G77" s="10">
        <f t="shared" si="39"/>
        <v>78.424088174137154</v>
      </c>
      <c r="H77" s="10">
        <f t="shared" si="40"/>
        <v>7997.0611192931137</v>
      </c>
      <c r="I77" s="55">
        <f t="shared" si="41"/>
        <v>98.017991060685091</v>
      </c>
      <c r="J77" s="55">
        <f t="shared" si="42"/>
        <v>0.35290722896797638</v>
      </c>
      <c r="K77" s="52">
        <f t="shared" si="47"/>
        <v>2619.3429818508466</v>
      </c>
      <c r="L77" s="9">
        <f t="shared" si="27"/>
        <v>53587741.342072882</v>
      </c>
      <c r="M77" s="27">
        <f t="shared" si="28"/>
        <v>53.587741342072881</v>
      </c>
      <c r="N77" s="27">
        <f t="shared" si="29"/>
        <v>79694.700826155327</v>
      </c>
      <c r="O77" s="27">
        <f t="shared" si="30"/>
        <v>79.694700826155326</v>
      </c>
      <c r="P77" s="27">
        <f t="shared" si="31"/>
        <v>8126.6280326447104</v>
      </c>
      <c r="Q77" s="25">
        <f t="shared" si="43"/>
        <v>98.646167594772351</v>
      </c>
      <c r="R77" s="25">
        <f t="shared" si="44"/>
        <v>0.35093876069718799</v>
      </c>
      <c r="S77" s="27">
        <f t="shared" si="48"/>
        <v>2644.6932275572358</v>
      </c>
      <c r="T77" s="50">
        <f t="shared" si="32"/>
        <v>54045105.926975466</v>
      </c>
      <c r="U77" s="50">
        <f t="shared" si="33"/>
        <v>54.045105926975467</v>
      </c>
      <c r="V77" s="45">
        <f t="shared" si="34"/>
        <v>80379.157076844698</v>
      </c>
      <c r="W77" s="45">
        <f t="shared" si="35"/>
        <v>80.379157076844706</v>
      </c>
      <c r="X77" s="45">
        <f t="shared" si="36"/>
        <v>8196.4234054400076</v>
      </c>
      <c r="Y77" s="46">
        <f t="shared" si="45"/>
        <v>98.982082222057798</v>
      </c>
      <c r="Z77" s="46">
        <f t="shared" si="46"/>
        <v>0.34959300233835172</v>
      </c>
      <c r="AA77" s="47">
        <f t="shared" si="49"/>
        <v>2658.2820135134471</v>
      </c>
      <c r="AF77" s="3"/>
      <c r="AG77" s="3"/>
    </row>
    <row r="78" spans="1:33">
      <c r="A78" s="23"/>
      <c r="B78" s="23">
        <v>52.5</v>
      </c>
      <c r="C78" s="13">
        <f>815.7*12.624*5</f>
        <v>51486.984000000004</v>
      </c>
      <c r="D78" s="10">
        <f t="shared" si="25"/>
        <v>5130288.0032658642</v>
      </c>
      <c r="E78" s="10">
        <f t="shared" si="26"/>
        <v>5.1302880032658642</v>
      </c>
      <c r="F78" s="10">
        <f t="shared" si="38"/>
        <v>7177.0465847391233</v>
      </c>
      <c r="G78" s="10">
        <f t="shared" si="39"/>
        <v>7.1770465847391236</v>
      </c>
      <c r="H78" s="10">
        <f t="shared" si="40"/>
        <v>731.85779433901791</v>
      </c>
      <c r="I78" s="55">
        <f t="shared" si="41"/>
        <v>38.593195108312358</v>
      </c>
      <c r="J78" s="55">
        <f t="shared" si="42"/>
        <v>0.378412750688496</v>
      </c>
      <c r="K78" s="52">
        <f t="shared" si="47"/>
        <v>1091.650800946823</v>
      </c>
      <c r="L78" s="9">
        <f t="shared" si="27"/>
        <v>5212880.8355303556</v>
      </c>
      <c r="M78" s="27">
        <f t="shared" si="28"/>
        <v>5.2128808355303553</v>
      </c>
      <c r="N78" s="27">
        <f t="shared" si="29"/>
        <v>7300.6485910414031</v>
      </c>
      <c r="O78" s="27">
        <f t="shared" si="30"/>
        <v>7.3006485910414032</v>
      </c>
      <c r="P78" s="27">
        <f t="shared" si="31"/>
        <v>744.46173812567395</v>
      </c>
      <c r="Q78" s="25">
        <f t="shared" si="43"/>
        <v>38.840530717623963</v>
      </c>
      <c r="R78" s="25">
        <f t="shared" si="44"/>
        <v>0.37628186384002599</v>
      </c>
      <c r="S78" s="27">
        <f t="shared" si="48"/>
        <v>1102.3660566136241</v>
      </c>
      <c r="T78" s="50">
        <f t="shared" si="32"/>
        <v>5257372.1131953299</v>
      </c>
      <c r="U78" s="50">
        <f t="shared" si="33"/>
        <v>5.2573721131953297</v>
      </c>
      <c r="V78" s="45">
        <f t="shared" si="34"/>
        <v>7367.2307753734785</v>
      </c>
      <c r="W78" s="45">
        <f t="shared" si="35"/>
        <v>7.3672307753734785</v>
      </c>
      <c r="X78" s="45">
        <f t="shared" si="36"/>
        <v>751.25125662638436</v>
      </c>
      <c r="Y78" s="46">
        <f t="shared" si="45"/>
        <v>38.972792342355042</v>
      </c>
      <c r="Z78" s="46">
        <f t="shared" si="46"/>
        <v>0.3748500988135649</v>
      </c>
      <c r="AA78" s="47">
        <f t="shared" si="49"/>
        <v>1108.1094916674742</v>
      </c>
      <c r="AF78" s="3"/>
      <c r="AG78" s="3"/>
    </row>
    <row r="79" spans="1:33" ht="15.75" thickBot="1">
      <c r="A79" s="24"/>
      <c r="B79" s="24">
        <v>55</v>
      </c>
      <c r="C79" s="14">
        <f t="shared" ref="C79" si="51">A79*2</f>
        <v>0</v>
      </c>
      <c r="D79" s="16">
        <f t="shared" si="25"/>
        <v>0</v>
      </c>
      <c r="E79" s="16">
        <v>0</v>
      </c>
      <c r="F79" s="16">
        <v>0</v>
      </c>
      <c r="G79" s="16">
        <f t="shared" si="39"/>
        <v>0</v>
      </c>
      <c r="H79" s="16">
        <f t="shared" si="40"/>
        <v>0</v>
      </c>
      <c r="I79" s="56">
        <f t="shared" si="41"/>
        <v>0</v>
      </c>
      <c r="J79" s="56">
        <f t="shared" si="42"/>
        <v>0.44319100999000538</v>
      </c>
      <c r="K79" s="53">
        <f t="shared" si="47"/>
        <v>232.4582923426216</v>
      </c>
      <c r="L79" s="15">
        <f t="shared" si="27"/>
        <v>0</v>
      </c>
      <c r="M79" s="28">
        <f t="shared" si="28"/>
        <v>0</v>
      </c>
      <c r="N79" s="28">
        <v>0</v>
      </c>
      <c r="O79" s="28">
        <v>0</v>
      </c>
      <c r="P79" s="28">
        <f t="shared" si="31"/>
        <v>0</v>
      </c>
      <c r="Q79" s="26">
        <f t="shared" si="43"/>
        <v>0</v>
      </c>
      <c r="R79" s="26">
        <f t="shared" si="44"/>
        <v>0.44064761667114322</v>
      </c>
      <c r="S79" s="27">
        <f t="shared" si="48"/>
        <v>234.95587135890759</v>
      </c>
      <c r="T79" s="51">
        <f>((7.924*(10^(-3)/98066.5^0.4)*1683*C79*(0.95*338.917*2661)^0.5)/(957*0.647*0.96))^(1/(1-0.4))</f>
        <v>0</v>
      </c>
      <c r="U79" s="51">
        <f t="shared" si="33"/>
        <v>0</v>
      </c>
      <c r="V79" s="48">
        <v>0</v>
      </c>
      <c r="W79" s="48">
        <v>0</v>
      </c>
      <c r="X79" s="48">
        <f t="shared" si="36"/>
        <v>0</v>
      </c>
      <c r="Y79" s="49">
        <f t="shared" si="45"/>
        <v>0</v>
      </c>
      <c r="Z79" s="49">
        <f t="shared" si="46"/>
        <v>0.43899741415188714</v>
      </c>
      <c r="AA79" s="47">
        <f t="shared" si="49"/>
        <v>236.29403785903739</v>
      </c>
    </row>
    <row r="80" spans="1:33" ht="15.75">
      <c r="K80" s="18">
        <f>SUM(K58:K79)</f>
        <v>73357.132830600545</v>
      </c>
      <c r="L80" s="8"/>
      <c r="M80" s="8"/>
      <c r="N80" s="8"/>
      <c r="O80" s="8"/>
      <c r="P80" s="8"/>
      <c r="Q80" s="8"/>
      <c r="R80" s="8"/>
      <c r="S80" s="18">
        <f>SUM(S58:S79)</f>
        <v>74081.208575018274</v>
      </c>
      <c r="T80" s="8"/>
      <c r="U80" s="8"/>
      <c r="V80" s="8"/>
      <c r="W80" s="8"/>
      <c r="X80" s="8"/>
      <c r="Y80" s="8"/>
      <c r="Z80" s="8"/>
      <c r="AA80" s="18">
        <f>SUM(AA58:AA79)</f>
        <v>74453.463256706251</v>
      </c>
    </row>
    <row r="86" spans="17:17">
      <c r="Q86" s="58"/>
    </row>
    <row r="87" spans="17:17">
      <c r="Q87" s="58"/>
    </row>
    <row r="88" spans="17:17">
      <c r="Q88" s="58"/>
    </row>
    <row r="89" spans="17:17">
      <c r="Q89" s="58"/>
    </row>
    <row r="90" spans="17:17">
      <c r="Q90" s="58"/>
    </row>
    <row r="91" spans="17:17">
      <c r="Q91" s="58"/>
    </row>
    <row r="92" spans="17:17">
      <c r="Q92" s="58"/>
    </row>
    <row r="93" spans="17:17">
      <c r="Q93" s="58"/>
    </row>
    <row r="94" spans="17:17">
      <c r="Q94" s="58"/>
    </row>
    <row r="95" spans="17:17">
      <c r="Q95" s="58"/>
    </row>
    <row r="96" spans="17:17">
      <c r="Q96" s="58"/>
    </row>
    <row r="97" spans="1:27">
      <c r="Q97" s="58"/>
    </row>
    <row r="98" spans="1:27">
      <c r="Q98" s="58"/>
    </row>
    <row r="99" spans="1:27">
      <c r="Q99" s="58"/>
    </row>
    <row r="100" spans="1:27">
      <c r="Q100" s="58"/>
    </row>
    <row r="101" spans="1:27">
      <c r="Q101" s="58"/>
    </row>
    <row r="102" spans="1:27">
      <c r="Q102" s="58"/>
    </row>
    <row r="103" spans="1:27">
      <c r="Q103" s="58"/>
    </row>
    <row r="105" spans="1:27" ht="15.75" thickBot="1"/>
    <row r="106" spans="1:27" ht="21.75" thickBot="1">
      <c r="A106" s="221" t="s">
        <v>51</v>
      </c>
      <c r="B106" s="222"/>
      <c r="C106" s="222"/>
      <c r="D106" s="222"/>
      <c r="E106" s="222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  <c r="AA106" s="223"/>
    </row>
    <row r="107" spans="1:27" ht="15.75" thickBot="1">
      <c r="A107" s="204" t="s">
        <v>0</v>
      </c>
      <c r="B107" s="204" t="s">
        <v>5</v>
      </c>
      <c r="C107" s="204" t="s">
        <v>6</v>
      </c>
      <c r="D107" s="209" t="s">
        <v>18</v>
      </c>
      <c r="E107" s="210"/>
      <c r="F107" s="210"/>
      <c r="G107" s="210"/>
      <c r="H107" s="210"/>
      <c r="I107" s="210"/>
      <c r="J107" s="210"/>
      <c r="K107" s="211"/>
      <c r="L107" s="209" t="s">
        <v>41</v>
      </c>
      <c r="M107" s="210"/>
      <c r="N107" s="210"/>
      <c r="O107" s="210"/>
      <c r="P107" s="210"/>
      <c r="Q107" s="210"/>
      <c r="R107" s="210"/>
      <c r="S107" s="211"/>
      <c r="T107" s="209" t="s">
        <v>42</v>
      </c>
      <c r="U107" s="210"/>
      <c r="V107" s="210"/>
      <c r="W107" s="210"/>
      <c r="X107" s="210"/>
      <c r="Y107" s="210"/>
      <c r="Z107" s="210"/>
      <c r="AA107" s="211"/>
    </row>
    <row r="108" spans="1:27" ht="15.75" thickBot="1">
      <c r="A108" s="217"/>
      <c r="B108" s="217"/>
      <c r="C108" s="217"/>
      <c r="D108" s="34" t="s">
        <v>19</v>
      </c>
      <c r="E108" s="35" t="s">
        <v>8</v>
      </c>
      <c r="F108" s="35" t="s">
        <v>7</v>
      </c>
      <c r="G108" s="35" t="s">
        <v>9</v>
      </c>
      <c r="H108" s="35" t="s">
        <v>10</v>
      </c>
      <c r="I108" s="35" t="s">
        <v>13</v>
      </c>
      <c r="J108" s="36" t="s">
        <v>12</v>
      </c>
      <c r="K108" s="37" t="s">
        <v>11</v>
      </c>
      <c r="L108" s="19" t="s">
        <v>19</v>
      </c>
      <c r="M108" s="12" t="s">
        <v>8</v>
      </c>
      <c r="N108" s="12" t="s">
        <v>7</v>
      </c>
      <c r="O108" s="12" t="s">
        <v>9</v>
      </c>
      <c r="P108" s="12" t="s">
        <v>10</v>
      </c>
      <c r="Q108" s="12" t="s">
        <v>13</v>
      </c>
      <c r="R108" s="11" t="s">
        <v>12</v>
      </c>
      <c r="S108" s="17" t="s">
        <v>11</v>
      </c>
      <c r="T108" s="19" t="s">
        <v>19</v>
      </c>
      <c r="U108" s="12" t="s">
        <v>8</v>
      </c>
      <c r="V108" s="12" t="s">
        <v>7</v>
      </c>
      <c r="W108" s="12" t="s">
        <v>9</v>
      </c>
      <c r="X108" s="12" t="s">
        <v>10</v>
      </c>
      <c r="Y108" s="12" t="s">
        <v>13</v>
      </c>
      <c r="Z108" s="11" t="s">
        <v>12</v>
      </c>
      <c r="AA108" s="17" t="s">
        <v>11</v>
      </c>
    </row>
    <row r="109" spans="1:27">
      <c r="A109" s="22">
        <v>108912.4</v>
      </c>
      <c r="B109" s="23">
        <v>0</v>
      </c>
      <c r="C109" s="73">
        <f>A109*2+785.39+6207.8</f>
        <v>224817.99</v>
      </c>
      <c r="D109" s="110">
        <f>((2.74*(10^(-3)/98066.5^0.37)*1700*C109*(0.95*324.38*2790)^0.5)/(957*0.647*0.96))^(1/(1-0.37))</f>
        <v>8522941.2719033435</v>
      </c>
      <c r="E109" s="81">
        <v>0</v>
      </c>
      <c r="F109" s="81" t="e">
        <f>1*0.95*E109*957*((0.293-(0.098/#REF!))/0.178)</f>
        <v>#REF!</v>
      </c>
      <c r="G109" s="81">
        <v>0</v>
      </c>
      <c r="H109" s="81">
        <v>0</v>
      </c>
      <c r="I109" s="82">
        <v>14.8</v>
      </c>
      <c r="J109" s="82">
        <v>0</v>
      </c>
      <c r="K109" s="111"/>
      <c r="L109" s="86">
        <f>((0.7*(10^(-3)/98066.5^0.6)*1700*C109*(0.95*324.38*2858)^0.5)/(957*0.647*0.96))^(1/(1-0.6))</f>
        <v>3775680.9355383832</v>
      </c>
      <c r="M109" s="87">
        <v>0</v>
      </c>
      <c r="N109" s="87">
        <f>1*0.95*M109*957*((0.293-(0.098/G163))/0.178)</f>
        <v>0</v>
      </c>
      <c r="O109" s="87">
        <v>0</v>
      </c>
      <c r="P109" s="87">
        <v>0</v>
      </c>
      <c r="Q109" s="88">
        <v>16</v>
      </c>
      <c r="R109" s="88">
        <v>0</v>
      </c>
      <c r="S109" s="89"/>
      <c r="T109" s="98">
        <f>((3.38*(10^(-3)/98066.5^0.36)*1700*C109*(0.95*324.38*2878)^0.5)/(957*0.647*0.96))^(1/(1-0.36))</f>
        <v>11305116.208348945</v>
      </c>
      <c r="U109" s="99">
        <v>0</v>
      </c>
      <c r="V109" s="99" t="e">
        <f>1*0.95*U109*957*((0.293-(0.098/AC110))/0.178)</f>
        <v>#DIV/0!</v>
      </c>
      <c r="W109" s="99">
        <v>0</v>
      </c>
      <c r="X109" s="99">
        <v>0</v>
      </c>
      <c r="Y109" s="100">
        <v>19</v>
      </c>
      <c r="Z109" s="100">
        <v>0</v>
      </c>
      <c r="AA109" s="101"/>
    </row>
    <row r="110" spans="1:27">
      <c r="A110" s="22">
        <v>122439.3</v>
      </c>
      <c r="B110" s="23">
        <v>2.5</v>
      </c>
      <c r="C110" s="13">
        <f>A110*2</f>
        <v>244878.6</v>
      </c>
      <c r="D110" s="112">
        <f t="shared" ref="D110:D131" si="52">((2.74*(10^(-3)/98066.5^0.37)*1700*C110*(0.95*324.38*2790)^0.5)/(957*0.647*0.96))^(1/(1-0.37))</f>
        <v>9761347.4280429874</v>
      </c>
      <c r="E110" s="80">
        <f t="shared" ref="E110:E130" si="53">D110*10^(-6)</f>
        <v>9.7613474280429866</v>
      </c>
      <c r="F110" s="80">
        <f>1*0.95*E110*957*((0.293-(0.098/E110))/0.178)</f>
        <v>14107.529781809815</v>
      </c>
      <c r="G110" s="80">
        <f>F110*10^(-3)</f>
        <v>14.107529781809815</v>
      </c>
      <c r="H110" s="80">
        <f>G110*101.972</f>
        <v>1438.5730269107103</v>
      </c>
      <c r="I110" s="83">
        <f>2.74*((E110/0.098)^0.37)</f>
        <v>15.035418813013271</v>
      </c>
      <c r="J110" s="83">
        <f>J109+2.5/I109</f>
        <v>0.16891891891891891</v>
      </c>
      <c r="K110" s="113">
        <f>(F110+0)/2*J110</f>
        <v>1191.5143396798831</v>
      </c>
      <c r="L110" s="90">
        <f t="shared" ref="L110:L131" si="54">((3.92*(10^(-3)/98066.5^0.307)*1700*C110*(0.95*324.38*2858)^0.5)/(957*0.647*0.96))^(1/(1-0.307))</f>
        <v>10961193.010618422</v>
      </c>
      <c r="M110" s="91">
        <f t="shared" ref="M110:M130" si="55">L110*10^(-6)</f>
        <v>10.961193010618421</v>
      </c>
      <c r="N110" s="91">
        <f>1*0.95*M110*957*((0.293-(0.098/M110))/0.178)</f>
        <v>15903.125321920757</v>
      </c>
      <c r="O110" s="91">
        <f>N110*10^(-3)</f>
        <v>15.903125321920758</v>
      </c>
      <c r="P110" s="91">
        <f>O110*101.972</f>
        <v>1621.6734953269033</v>
      </c>
      <c r="Q110" s="92">
        <f>3.92*((M110/0.098)^0.307)</f>
        <v>16.680766922912053</v>
      </c>
      <c r="R110" s="92">
        <f>R109+2.5/Q109</f>
        <v>0.15625</v>
      </c>
      <c r="S110" s="93">
        <f>(N110+0)/2*R110</f>
        <v>1242.4316657750592</v>
      </c>
      <c r="T110" s="102">
        <f t="shared" ref="T110:T131" si="56">((3.38*(10^(-3)/98066.5^0.36)*1700*C110*(0.95*324.38*2878)^0.5)/(957*0.647*0.96))^(1/(1-0.36))</f>
        <v>12920361.836010601</v>
      </c>
      <c r="U110" s="103">
        <f t="shared" ref="U110:U130" si="57">T110*10^(-6)</f>
        <v>12.920361836010601</v>
      </c>
      <c r="V110" s="103">
        <f>1*0.95*U110*957*((0.293-(0.098/U110))/0.178)</f>
        <v>18835.064945057573</v>
      </c>
      <c r="W110" s="103">
        <f>V110*10^(-3)</f>
        <v>18.835064945057574</v>
      </c>
      <c r="X110" s="103">
        <f>W110*101.972</f>
        <v>1920.6492425774109</v>
      </c>
      <c r="Y110" s="104">
        <f>3.38*((U110/0.098)^0.36)</f>
        <v>19.594500477691774</v>
      </c>
      <c r="Z110" s="104">
        <f>Z109+2.5/Y109</f>
        <v>0.13157894736842105</v>
      </c>
      <c r="AA110" s="105">
        <f>(V110+0)/2*Z110</f>
        <v>1239.1490095432614</v>
      </c>
    </row>
    <row r="111" spans="1:27">
      <c r="A111" s="22">
        <v>129087</v>
      </c>
      <c r="B111" s="23">
        <v>5</v>
      </c>
      <c r="C111" s="13">
        <f t="shared" ref="C111:C118" si="58">A111*2</f>
        <v>258174</v>
      </c>
      <c r="D111" s="112">
        <f t="shared" si="52"/>
        <v>10615901.13996784</v>
      </c>
      <c r="E111" s="80">
        <f t="shared" si="53"/>
        <v>10.615901139967839</v>
      </c>
      <c r="F111" s="80">
        <f t="shared" ref="F111:F130" si="59">1*0.95*E111*957*((0.293-(0.098/E111))/0.178)</f>
        <v>15386.388375116379</v>
      </c>
      <c r="G111" s="80">
        <f t="shared" ref="G111:G131" si="60">F111*10^(-3)</f>
        <v>15.386388375116379</v>
      </c>
      <c r="H111" s="80">
        <f t="shared" ref="H111:H131" si="61">G111*101.972</f>
        <v>1568.9807953873674</v>
      </c>
      <c r="I111" s="83">
        <f t="shared" ref="I111:I131" si="62">2.74*((E111/0.098)^0.37)</f>
        <v>15.509612776559045</v>
      </c>
      <c r="J111" s="83">
        <f t="shared" ref="J111:J131" si="63">J110+2.5/I110</f>
        <v>0.3351929702833033</v>
      </c>
      <c r="K111" s="113">
        <f>(F111+F110)/2*(J111-J110)</f>
        <v>2452.0366312808474</v>
      </c>
      <c r="L111" s="90">
        <f t="shared" si="54"/>
        <v>11830185.317435559</v>
      </c>
      <c r="M111" s="91">
        <f t="shared" si="55"/>
        <v>11.830185317435559</v>
      </c>
      <c r="N111" s="91">
        <f t="shared" ref="N111:N130" si="64">1*0.95*M111*957*((0.293-(0.098/M111))/0.178)</f>
        <v>17203.591592890651</v>
      </c>
      <c r="O111" s="91">
        <f t="shared" ref="O111:O131" si="65">N111*10^(-3)</f>
        <v>17.20359159289065</v>
      </c>
      <c r="P111" s="91">
        <f t="shared" ref="P111:P131" si="66">O111*101.972</f>
        <v>1754.2846419102452</v>
      </c>
      <c r="Q111" s="92">
        <f t="shared" ref="Q111:Q131" si="67">3.92*((M111/0.098)^0.307)</f>
        <v>17.076075525184955</v>
      </c>
      <c r="R111" s="92">
        <f t="shared" ref="R111:R131" si="68">R110+2.5/Q110</f>
        <v>0.30612320496434114</v>
      </c>
      <c r="S111" s="93">
        <f>(N111+N110)/2*(R111-R110)</f>
        <v>2480.9048849349747</v>
      </c>
      <c r="T111" s="102">
        <f t="shared" si="56"/>
        <v>14033056.875914466</v>
      </c>
      <c r="U111" s="103">
        <f t="shared" si="57"/>
        <v>14.033056875914465</v>
      </c>
      <c r="V111" s="103">
        <f t="shared" ref="V111:V130" si="69">1*0.95*U111*957*((0.293-(0.098/U111))/0.178)</f>
        <v>20500.237764101839</v>
      </c>
      <c r="W111" s="103">
        <f t="shared" ref="W111:W131" si="70">V111*10^(-3)</f>
        <v>20.50023776410184</v>
      </c>
      <c r="X111" s="103">
        <f t="shared" ref="X111:X131" si="71">W111*101.972</f>
        <v>2090.4502452809925</v>
      </c>
      <c r="Y111" s="104">
        <f t="shared" ref="Y111:Y130" si="72">3.38*((U111/0.098)^0.36)</f>
        <v>20.185993811549668</v>
      </c>
      <c r="Z111" s="104">
        <f t="shared" ref="Z111:Z131" si="73">Z110+2.5/Y110</f>
        <v>0.25916576709093631</v>
      </c>
      <c r="AA111" s="105">
        <f>(V111+V110)/2*(Z111-Z110)</f>
        <v>2509.333087742044</v>
      </c>
    </row>
    <row r="112" spans="1:27">
      <c r="A112" s="22">
        <v>142492.4</v>
      </c>
      <c r="B112" s="23">
        <v>7.5</v>
      </c>
      <c r="C112" s="13">
        <f t="shared" si="58"/>
        <v>284984.8</v>
      </c>
      <c r="D112" s="112">
        <f t="shared" si="52"/>
        <v>12418430.08151067</v>
      </c>
      <c r="E112" s="80">
        <f t="shared" si="53"/>
        <v>12.418430081510669</v>
      </c>
      <c r="F112" s="80">
        <f t="shared" si="59"/>
        <v>18083.912936075223</v>
      </c>
      <c r="G112" s="80">
        <f t="shared" si="60"/>
        <v>18.083912936075222</v>
      </c>
      <c r="H112" s="80">
        <f t="shared" si="61"/>
        <v>1844.0527699174625</v>
      </c>
      <c r="I112" s="83">
        <f t="shared" si="62"/>
        <v>16.436206633649984</v>
      </c>
      <c r="J112" s="83">
        <f t="shared" si="63"/>
        <v>0.49638332596893692</v>
      </c>
      <c r="K112" s="113">
        <f t="shared" ref="K112:K131" si="74">(F112+F111)/2*(J112-J111)</f>
        <v>2697.5448866281517</v>
      </c>
      <c r="L112" s="90">
        <f t="shared" si="54"/>
        <v>13642990.475910557</v>
      </c>
      <c r="M112" s="91">
        <f t="shared" si="55"/>
        <v>13.642990475910556</v>
      </c>
      <c r="N112" s="91">
        <f t="shared" si="64"/>
        <v>19916.494740528124</v>
      </c>
      <c r="O112" s="91">
        <f t="shared" si="65"/>
        <v>19.916494740528123</v>
      </c>
      <c r="P112" s="91">
        <f t="shared" si="66"/>
        <v>2030.9248016811337</v>
      </c>
      <c r="Q112" s="92">
        <f t="shared" si="67"/>
        <v>17.840084274444269</v>
      </c>
      <c r="R112" s="92">
        <f t="shared" si="68"/>
        <v>0.45252686758066246</v>
      </c>
      <c r="S112" s="93">
        <f t="shared" ref="S112:S131" si="75">(N112+N111)/2*(R112-R111)</f>
        <v>2717.2582979232811</v>
      </c>
      <c r="T112" s="102">
        <f t="shared" si="56"/>
        <v>16375625.594917623</v>
      </c>
      <c r="U112" s="103">
        <f t="shared" si="57"/>
        <v>16.375625594917622</v>
      </c>
      <c r="V112" s="103">
        <f t="shared" si="69"/>
        <v>24005.943836058828</v>
      </c>
      <c r="W112" s="103">
        <f t="shared" si="70"/>
        <v>24.00594383605883</v>
      </c>
      <c r="X112" s="103">
        <f t="shared" si="71"/>
        <v>2447.9341048505908</v>
      </c>
      <c r="Y112" s="104">
        <f t="shared" si="72"/>
        <v>21.339613885120816</v>
      </c>
      <c r="Z112" s="104">
        <f t="shared" si="73"/>
        <v>0.38301401669109192</v>
      </c>
      <c r="AA112" s="105">
        <f t="shared" ref="AA112:AA131" si="76">(V112+V111)/2*(Z112-Z111)</f>
        <v>2756.0063437832755</v>
      </c>
    </row>
    <row r="113" spans="1:27">
      <c r="A113" s="22">
        <v>152191.1</v>
      </c>
      <c r="B113" s="23">
        <v>10</v>
      </c>
      <c r="C113" s="13">
        <f t="shared" si="58"/>
        <v>304382.2</v>
      </c>
      <c r="D113" s="112">
        <f t="shared" si="52"/>
        <v>13786678.254650928</v>
      </c>
      <c r="E113" s="80">
        <f t="shared" si="53"/>
        <v>13.786678254650928</v>
      </c>
      <c r="F113" s="80">
        <f t="shared" si="59"/>
        <v>20131.526689990202</v>
      </c>
      <c r="G113" s="80">
        <f t="shared" si="60"/>
        <v>20.131526689990203</v>
      </c>
      <c r="H113" s="80">
        <f t="shared" si="61"/>
        <v>2052.8520396316808</v>
      </c>
      <c r="I113" s="83">
        <f t="shared" si="62"/>
        <v>17.084291846680856</v>
      </c>
      <c r="J113" s="83">
        <f t="shared" si="63"/>
        <v>0.64848654879419199</v>
      </c>
      <c r="K113" s="113">
        <f t="shared" si="74"/>
        <v>2906.345764404256</v>
      </c>
      <c r="L113" s="90">
        <f t="shared" si="54"/>
        <v>15002923.285930995</v>
      </c>
      <c r="M113" s="91">
        <f t="shared" si="55"/>
        <v>15.002923285930994</v>
      </c>
      <c r="N113" s="91">
        <f t="shared" si="64"/>
        <v>21951.664369007976</v>
      </c>
      <c r="O113" s="91">
        <f t="shared" si="65"/>
        <v>21.951664369007975</v>
      </c>
      <c r="P113" s="91">
        <f t="shared" si="66"/>
        <v>2238.4551190364809</v>
      </c>
      <c r="Q113" s="92">
        <f t="shared" si="67"/>
        <v>18.36816024659749</v>
      </c>
      <c r="R113" s="92">
        <f t="shared" si="68"/>
        <v>0.59266073474973313</v>
      </c>
      <c r="S113" s="93">
        <f t="shared" si="75"/>
        <v>2933.5735236346241</v>
      </c>
      <c r="T113" s="102">
        <f t="shared" si="56"/>
        <v>18150206.873152904</v>
      </c>
      <c r="U113" s="103">
        <f t="shared" si="57"/>
        <v>18.150206873152904</v>
      </c>
      <c r="V113" s="103">
        <f t="shared" si="69"/>
        <v>26661.644098691013</v>
      </c>
      <c r="W113" s="103">
        <f t="shared" si="70"/>
        <v>26.661644098691013</v>
      </c>
      <c r="X113" s="103">
        <f t="shared" si="71"/>
        <v>2718.74117203172</v>
      </c>
      <c r="Y113" s="104">
        <f t="shared" si="72"/>
        <v>22.144846875242038</v>
      </c>
      <c r="Z113" s="104">
        <f t="shared" si="73"/>
        <v>0.50016702674359059</v>
      </c>
      <c r="AA113" s="105">
        <f t="shared" si="76"/>
        <v>2967.9302193278045</v>
      </c>
    </row>
    <row r="114" spans="1:27">
      <c r="A114" s="22">
        <v>160549.6</v>
      </c>
      <c r="B114" s="23">
        <v>12.5</v>
      </c>
      <c r="C114" s="13">
        <f t="shared" si="58"/>
        <v>321099.2</v>
      </c>
      <c r="D114" s="112">
        <f t="shared" si="52"/>
        <v>15007789.809329877</v>
      </c>
      <c r="E114" s="80">
        <f t="shared" si="53"/>
        <v>15.007789809329877</v>
      </c>
      <c r="F114" s="80">
        <f t="shared" si="59"/>
        <v>21958.94722926748</v>
      </c>
      <c r="G114" s="80">
        <f t="shared" si="60"/>
        <v>21.95894722926748</v>
      </c>
      <c r="H114" s="80">
        <f t="shared" si="61"/>
        <v>2239.1977668628633</v>
      </c>
      <c r="I114" s="83">
        <f t="shared" si="62"/>
        <v>17.629261023490837</v>
      </c>
      <c r="J114" s="83">
        <f t="shared" si="63"/>
        <v>0.7948198017282726</v>
      </c>
      <c r="K114" s="113">
        <f t="shared" si="74"/>
        <v>3079.6179830710289</v>
      </c>
      <c r="L114" s="90">
        <f t="shared" si="54"/>
        <v>16206242.812725484</v>
      </c>
      <c r="M114" s="91">
        <f t="shared" si="55"/>
        <v>16.206242812725485</v>
      </c>
      <c r="N114" s="91">
        <f t="shared" si="64"/>
        <v>23752.45874373307</v>
      </c>
      <c r="O114" s="91">
        <f t="shared" si="65"/>
        <v>23.752458743733072</v>
      </c>
      <c r="P114" s="91">
        <f t="shared" si="66"/>
        <v>2422.0857230159486</v>
      </c>
      <c r="Q114" s="92">
        <f t="shared" si="67"/>
        <v>18.808412482640282</v>
      </c>
      <c r="R114" s="92">
        <f t="shared" si="68"/>
        <v>0.72876581911511473</v>
      </c>
      <c r="S114" s="93">
        <f t="shared" si="75"/>
        <v>3110.2817660527035</v>
      </c>
      <c r="T114" s="102">
        <f t="shared" si="56"/>
        <v>19731621.926944282</v>
      </c>
      <c r="U114" s="103">
        <f t="shared" si="57"/>
        <v>19.731621926944282</v>
      </c>
      <c r="V114" s="103">
        <f t="shared" si="69"/>
        <v>29028.266819889031</v>
      </c>
      <c r="W114" s="103">
        <f t="shared" si="70"/>
        <v>29.028266819889033</v>
      </c>
      <c r="X114" s="103">
        <f t="shared" si="71"/>
        <v>2960.0704241577246</v>
      </c>
      <c r="Y114" s="104">
        <f t="shared" si="72"/>
        <v>22.820960317206655</v>
      </c>
      <c r="Z114" s="104">
        <f t="shared" si="73"/>
        <v>0.61306010810397704</v>
      </c>
      <c r="AA114" s="105">
        <f t="shared" si="76"/>
        <v>3143.5028221419657</v>
      </c>
    </row>
    <row r="115" spans="1:27">
      <c r="A115" s="22">
        <v>170059.3</v>
      </c>
      <c r="B115" s="23">
        <v>15</v>
      </c>
      <c r="C115" s="13">
        <f t="shared" si="58"/>
        <v>340118.6</v>
      </c>
      <c r="D115" s="112">
        <f t="shared" si="52"/>
        <v>16443158.582772935</v>
      </c>
      <c r="E115" s="80">
        <f t="shared" si="53"/>
        <v>16.443158582772934</v>
      </c>
      <c r="F115" s="80">
        <f t="shared" si="59"/>
        <v>24107.008451009591</v>
      </c>
      <c r="G115" s="80">
        <f t="shared" si="60"/>
        <v>24.107008451009591</v>
      </c>
      <c r="H115" s="80">
        <f t="shared" si="61"/>
        <v>2458.2398657663498</v>
      </c>
      <c r="I115" s="83">
        <f t="shared" si="62"/>
        <v>18.235238823792788</v>
      </c>
      <c r="J115" s="83">
        <f t="shared" si="63"/>
        <v>0.93662948942129454</v>
      </c>
      <c r="K115" s="113">
        <f t="shared" si="74"/>
        <v>3266.2993941503405</v>
      </c>
      <c r="L115" s="90">
        <f t="shared" si="54"/>
        <v>17609402.501163583</v>
      </c>
      <c r="M115" s="91">
        <f t="shared" si="55"/>
        <v>17.609402501163583</v>
      </c>
      <c r="N115" s="91">
        <f t="shared" si="64"/>
        <v>25852.3183550131</v>
      </c>
      <c r="O115" s="91">
        <f t="shared" si="65"/>
        <v>25.8523183550131</v>
      </c>
      <c r="P115" s="91">
        <f t="shared" si="66"/>
        <v>2636.2126072973956</v>
      </c>
      <c r="Q115" s="92">
        <f t="shared" si="67"/>
        <v>19.294043805542547</v>
      </c>
      <c r="R115" s="92">
        <f t="shared" si="68"/>
        <v>0.86168506481474205</v>
      </c>
      <c r="S115" s="93">
        <f t="shared" si="75"/>
        <v>3296.7147775317444</v>
      </c>
      <c r="T115" s="102">
        <f t="shared" si="56"/>
        <v>21587953.390106186</v>
      </c>
      <c r="U115" s="103">
        <f t="shared" si="57"/>
        <v>21.587953390106186</v>
      </c>
      <c r="V115" s="103">
        <f t="shared" si="69"/>
        <v>31806.308048383176</v>
      </c>
      <c r="W115" s="103">
        <f t="shared" si="70"/>
        <v>31.806308048383176</v>
      </c>
      <c r="X115" s="103">
        <f t="shared" si="71"/>
        <v>3243.3528443097289</v>
      </c>
      <c r="Y115" s="104">
        <f t="shared" si="72"/>
        <v>23.571729184721921</v>
      </c>
      <c r="Z115" s="104">
        <f t="shared" si="73"/>
        <v>0.72260852172244505</v>
      </c>
      <c r="AA115" s="105">
        <f t="shared" si="76"/>
        <v>3332.165584986571</v>
      </c>
    </row>
    <row r="116" spans="1:27">
      <c r="A116" s="22">
        <v>179736.9</v>
      </c>
      <c r="B116" s="23">
        <v>17.5</v>
      </c>
      <c r="C116" s="13">
        <f t="shared" si="58"/>
        <v>359473.8</v>
      </c>
      <c r="D116" s="112">
        <f t="shared" si="52"/>
        <v>17953081.031538628</v>
      </c>
      <c r="E116" s="80">
        <f t="shared" si="53"/>
        <v>17.953081031538627</v>
      </c>
      <c r="F116" s="80">
        <f t="shared" si="59"/>
        <v>26366.640902293479</v>
      </c>
      <c r="G116" s="80">
        <f t="shared" si="60"/>
        <v>26.366640902293479</v>
      </c>
      <c r="H116" s="80">
        <f t="shared" si="61"/>
        <v>2688.6591060886703</v>
      </c>
      <c r="I116" s="83">
        <f t="shared" si="62"/>
        <v>18.837720180891925</v>
      </c>
      <c r="J116" s="83">
        <f t="shared" si="63"/>
        <v>1.0737266793269225</v>
      </c>
      <c r="K116" s="113">
        <f t="shared" si="74"/>
        <v>3459.8977453099324</v>
      </c>
      <c r="L116" s="90">
        <f t="shared" si="54"/>
        <v>19073475.848797332</v>
      </c>
      <c r="M116" s="91">
        <f t="shared" si="55"/>
        <v>19.073475848797333</v>
      </c>
      <c r="N116" s="91">
        <f t="shared" si="64"/>
        <v>28043.336609015107</v>
      </c>
      <c r="O116" s="91">
        <f t="shared" si="65"/>
        <v>28.043336609015107</v>
      </c>
      <c r="P116" s="91">
        <f t="shared" si="66"/>
        <v>2859.6351206944883</v>
      </c>
      <c r="Q116" s="92">
        <f t="shared" si="67"/>
        <v>19.772957087215271</v>
      </c>
      <c r="R116" s="92">
        <f t="shared" si="68"/>
        <v>0.99125873144453547</v>
      </c>
      <c r="S116" s="93">
        <f t="shared" si="75"/>
        <v>3491.7288145516804</v>
      </c>
      <c r="T116" s="102">
        <f t="shared" si="56"/>
        <v>23537973.266047377</v>
      </c>
      <c r="U116" s="103">
        <f t="shared" si="57"/>
        <v>23.537973266047377</v>
      </c>
      <c r="V116" s="103">
        <f t="shared" si="69"/>
        <v>34724.556065642151</v>
      </c>
      <c r="W116" s="103">
        <f t="shared" si="70"/>
        <v>34.724556065642155</v>
      </c>
      <c r="X116" s="103">
        <f t="shared" si="71"/>
        <v>3540.9324311256614</v>
      </c>
      <c r="Y116" s="104">
        <f t="shared" si="72"/>
        <v>24.317122159787989</v>
      </c>
      <c r="Z116" s="104">
        <f t="shared" si="73"/>
        <v>0.82866777517850387</v>
      </c>
      <c r="AA116" s="105">
        <f t="shared" si="76"/>
        <v>3528.1068898600106</v>
      </c>
    </row>
    <row r="117" spans="1:27">
      <c r="A117" s="22">
        <v>188730.4</v>
      </c>
      <c r="B117" s="23">
        <v>20</v>
      </c>
      <c r="C117" s="13">
        <f t="shared" si="58"/>
        <v>377460.8</v>
      </c>
      <c r="D117" s="112">
        <f t="shared" si="52"/>
        <v>19399793.521028478</v>
      </c>
      <c r="E117" s="80">
        <f t="shared" si="53"/>
        <v>19.399793521028478</v>
      </c>
      <c r="F117" s="80">
        <f t="shared" si="59"/>
        <v>28531.678246828142</v>
      </c>
      <c r="G117" s="80">
        <f t="shared" si="60"/>
        <v>28.531678246828143</v>
      </c>
      <c r="H117" s="80">
        <f t="shared" si="61"/>
        <v>2909.4322941855594</v>
      </c>
      <c r="I117" s="83">
        <f t="shared" si="62"/>
        <v>19.38571593647427</v>
      </c>
      <c r="J117" s="83">
        <f t="shared" si="63"/>
        <v>1.2064391294532322</v>
      </c>
      <c r="K117" s="113">
        <f t="shared" si="74"/>
        <v>3642.8452210480186</v>
      </c>
      <c r="L117" s="90">
        <f t="shared" si="54"/>
        <v>20465771.999059513</v>
      </c>
      <c r="M117" s="91">
        <f t="shared" si="55"/>
        <v>20.465771999059513</v>
      </c>
      <c r="N117" s="91">
        <f t="shared" si="64"/>
        <v>30126.938694341978</v>
      </c>
      <c r="O117" s="91">
        <f t="shared" si="65"/>
        <v>30.126938694341977</v>
      </c>
      <c r="P117" s="91">
        <f t="shared" si="66"/>
        <v>3072.1041925394397</v>
      </c>
      <c r="Q117" s="92">
        <f t="shared" si="67"/>
        <v>20.205299772312983</v>
      </c>
      <c r="R117" s="92">
        <f t="shared" si="68"/>
        <v>1.1176940435211717</v>
      </c>
      <c r="S117" s="93">
        <f t="shared" si="75"/>
        <v>3677.3884557819006</v>
      </c>
      <c r="T117" s="102">
        <f t="shared" si="56"/>
        <v>25403951.427668326</v>
      </c>
      <c r="U117" s="103">
        <f t="shared" si="57"/>
        <v>25.403951427668325</v>
      </c>
      <c r="V117" s="103">
        <f t="shared" si="69"/>
        <v>37517.033792450253</v>
      </c>
      <c r="W117" s="103">
        <f t="shared" si="70"/>
        <v>37.517033792450256</v>
      </c>
      <c r="X117" s="103">
        <f t="shared" si="71"/>
        <v>3825.6869698837372</v>
      </c>
      <c r="Y117" s="104">
        <f t="shared" si="72"/>
        <v>24.994230553796196</v>
      </c>
      <c r="Z117" s="104">
        <f t="shared" si="73"/>
        <v>0.9314759933373995</v>
      </c>
      <c r="AA117" s="105">
        <f t="shared" si="76"/>
        <v>3713.5145651381126</v>
      </c>
    </row>
    <row r="118" spans="1:27">
      <c r="A118" s="22">
        <v>197021.9</v>
      </c>
      <c r="B118" s="23">
        <v>22.5</v>
      </c>
      <c r="C118" s="13">
        <f t="shared" si="58"/>
        <v>394043.8</v>
      </c>
      <c r="D118" s="112">
        <f t="shared" si="52"/>
        <v>20769986.907252632</v>
      </c>
      <c r="E118" s="80">
        <f t="shared" si="53"/>
        <v>20.76998690725263</v>
      </c>
      <c r="F118" s="80">
        <f t="shared" si="59"/>
        <v>30582.203055289421</v>
      </c>
      <c r="G118" s="80">
        <f t="shared" si="60"/>
        <v>30.582203055289423</v>
      </c>
      <c r="H118" s="80">
        <f t="shared" si="61"/>
        <v>3118.5284099539726</v>
      </c>
      <c r="I118" s="83">
        <f t="shared" si="62"/>
        <v>19.881461990568887</v>
      </c>
      <c r="J118" s="83">
        <f t="shared" si="63"/>
        <v>1.3354000617289519</v>
      </c>
      <c r="K118" s="113">
        <f t="shared" si="74"/>
        <v>3811.6906215786576</v>
      </c>
      <c r="L118" s="90">
        <f t="shared" si="54"/>
        <v>21775732.940660827</v>
      </c>
      <c r="M118" s="91">
        <f t="shared" si="55"/>
        <v>21.775732940660827</v>
      </c>
      <c r="N118" s="91">
        <f t="shared" si="64"/>
        <v>32087.324312806315</v>
      </c>
      <c r="O118" s="91">
        <f t="shared" si="65"/>
        <v>32.087324312806317</v>
      </c>
      <c r="P118" s="91">
        <f t="shared" si="66"/>
        <v>3272.0086348254854</v>
      </c>
      <c r="Q118" s="92">
        <f t="shared" si="67"/>
        <v>20.593838648865603</v>
      </c>
      <c r="R118" s="92">
        <f t="shared" si="68"/>
        <v>1.2414239573641583</v>
      </c>
      <c r="S118" s="93">
        <f t="shared" si="75"/>
        <v>3848.8827008396834</v>
      </c>
      <c r="T118" s="102">
        <f t="shared" si="56"/>
        <v>27169226.708555598</v>
      </c>
      <c r="U118" s="103">
        <f t="shared" si="57"/>
        <v>27.169226708555598</v>
      </c>
      <c r="V118" s="103">
        <f t="shared" si="69"/>
        <v>40158.80742354165</v>
      </c>
      <c r="W118" s="103">
        <f t="shared" si="70"/>
        <v>40.158807423541653</v>
      </c>
      <c r="X118" s="103">
        <f t="shared" si="71"/>
        <v>4095.073910593389</v>
      </c>
      <c r="Y118" s="104">
        <f t="shared" si="72"/>
        <v>25.606082063125758</v>
      </c>
      <c r="Z118" s="104">
        <f t="shared" si="73"/>
        <v>1.0314990764492855</v>
      </c>
      <c r="AA118" s="105">
        <f t="shared" si="76"/>
        <v>3884.6885608664102</v>
      </c>
    </row>
    <row r="119" spans="1:27">
      <c r="A119" s="23">
        <v>204713.5</v>
      </c>
      <c r="B119" s="23">
        <v>25</v>
      </c>
      <c r="C119" s="13">
        <f>A119*2</f>
        <v>409427</v>
      </c>
      <c r="D119" s="112">
        <f t="shared" si="52"/>
        <v>22071720.705919988</v>
      </c>
      <c r="E119" s="80">
        <f t="shared" si="53"/>
        <v>22.071720705919986</v>
      </c>
      <c r="F119" s="80">
        <f t="shared" si="59"/>
        <v>32530.27657178447</v>
      </c>
      <c r="G119" s="80">
        <f t="shared" si="60"/>
        <v>32.530276571784469</v>
      </c>
      <c r="H119" s="80">
        <f t="shared" si="61"/>
        <v>3317.1773625780056</v>
      </c>
      <c r="I119" s="83">
        <f t="shared" si="62"/>
        <v>20.333695040990051</v>
      </c>
      <c r="J119" s="83">
        <f t="shared" si="63"/>
        <v>1.4611453414868447</v>
      </c>
      <c r="K119" s="113">
        <f t="shared" si="74"/>
        <v>3968.0482034603592</v>
      </c>
      <c r="L119" s="90">
        <f t="shared" si="54"/>
        <v>23012974.364091188</v>
      </c>
      <c r="M119" s="91">
        <f t="shared" si="55"/>
        <v>23.012974364091185</v>
      </c>
      <c r="N119" s="91">
        <f t="shared" si="64"/>
        <v>33938.883558608177</v>
      </c>
      <c r="O119" s="91">
        <f t="shared" si="65"/>
        <v>33.938883558608175</v>
      </c>
      <c r="P119" s="91">
        <f t="shared" si="66"/>
        <v>3460.8158342383927</v>
      </c>
      <c r="Q119" s="92">
        <f t="shared" si="67"/>
        <v>20.946202468483648</v>
      </c>
      <c r="R119" s="92">
        <f t="shared" si="68"/>
        <v>1.3628194894272256</v>
      </c>
      <c r="S119" s="93">
        <f t="shared" si="75"/>
        <v>4007.6433173285222</v>
      </c>
      <c r="T119" s="102">
        <f t="shared" si="56"/>
        <v>28844615.048741043</v>
      </c>
      <c r="U119" s="103">
        <f t="shared" si="57"/>
        <v>28.844615048741041</v>
      </c>
      <c r="V119" s="103">
        <f t="shared" si="69"/>
        <v>42666.063253190645</v>
      </c>
      <c r="W119" s="103">
        <f t="shared" si="70"/>
        <v>42.666063253190643</v>
      </c>
      <c r="X119" s="103">
        <f t="shared" si="71"/>
        <v>4350.7438020543559</v>
      </c>
      <c r="Y119" s="104">
        <f t="shared" si="72"/>
        <v>26.163667548392308</v>
      </c>
      <c r="Z119" s="104">
        <f t="shared" si="73"/>
        <v>1.1291321307305628</v>
      </c>
      <c r="AA119" s="105">
        <f t="shared" si="76"/>
        <v>4043.22254731059</v>
      </c>
    </row>
    <row r="120" spans="1:27">
      <c r="A120" s="23">
        <v>213098.4</v>
      </c>
      <c r="B120" s="23">
        <v>27.5</v>
      </c>
      <c r="C120" s="13">
        <f>A120*2</f>
        <v>426196.8</v>
      </c>
      <c r="D120" s="112">
        <f t="shared" si="52"/>
        <v>23523868.350843638</v>
      </c>
      <c r="E120" s="80">
        <f t="shared" si="53"/>
        <v>23.523868350843639</v>
      </c>
      <c r="F120" s="80">
        <f t="shared" si="59"/>
        <v>34703.447747037426</v>
      </c>
      <c r="G120" s="80">
        <f t="shared" si="60"/>
        <v>34.70344774703743</v>
      </c>
      <c r="H120" s="80">
        <f t="shared" si="61"/>
        <v>3538.7799736609004</v>
      </c>
      <c r="I120" s="83">
        <f t="shared" si="62"/>
        <v>20.818773904758853</v>
      </c>
      <c r="J120" s="83">
        <f t="shared" si="63"/>
        <v>1.584093974037905</v>
      </c>
      <c r="K120" s="113">
        <f t="shared" si="74"/>
        <v>4133.1472331570585</v>
      </c>
      <c r="L120" s="90">
        <f t="shared" si="54"/>
        <v>24385384.946914364</v>
      </c>
      <c r="M120" s="91">
        <f t="shared" si="55"/>
        <v>24.385384946914364</v>
      </c>
      <c r="N120" s="91">
        <f t="shared" si="64"/>
        <v>35992.726450981732</v>
      </c>
      <c r="O120" s="91">
        <f t="shared" si="65"/>
        <v>35.992726450981735</v>
      </c>
      <c r="P120" s="91">
        <f t="shared" si="66"/>
        <v>3670.2503016595092</v>
      </c>
      <c r="Q120" s="92">
        <f t="shared" si="67"/>
        <v>21.322025274538191</v>
      </c>
      <c r="R120" s="92">
        <f t="shared" si="68"/>
        <v>1.4821728664301255</v>
      </c>
      <c r="S120" s="93">
        <f t="shared" si="75"/>
        <v>4173.2869069471735</v>
      </c>
      <c r="T120" s="102">
        <f t="shared" si="56"/>
        <v>30711774.623857029</v>
      </c>
      <c r="U120" s="103">
        <f t="shared" si="57"/>
        <v>30.711774623857028</v>
      </c>
      <c r="V120" s="103">
        <f t="shared" si="69"/>
        <v>45460.308991510828</v>
      </c>
      <c r="W120" s="103">
        <f t="shared" si="70"/>
        <v>45.460308991510828</v>
      </c>
      <c r="X120" s="103">
        <f t="shared" si="71"/>
        <v>4635.678628482342</v>
      </c>
      <c r="Y120" s="104">
        <f t="shared" si="72"/>
        <v>26.761169044007094</v>
      </c>
      <c r="Z120" s="104">
        <f t="shared" si="73"/>
        <v>1.2246844838315187</v>
      </c>
      <c r="AA120" s="105">
        <f t="shared" si="76"/>
        <v>4210.3411191159967</v>
      </c>
    </row>
    <row r="121" spans="1:27">
      <c r="A121" s="23">
        <v>221700.2</v>
      </c>
      <c r="B121" s="23">
        <v>30</v>
      </c>
      <c r="C121" s="13">
        <f>A121*2</f>
        <v>443400.4</v>
      </c>
      <c r="D121" s="112">
        <f t="shared" si="52"/>
        <v>25048858.543739434</v>
      </c>
      <c r="E121" s="80">
        <f t="shared" si="53"/>
        <v>25.048858543739435</v>
      </c>
      <c r="F121" s="80">
        <f t="shared" si="59"/>
        <v>36985.629411780486</v>
      </c>
      <c r="G121" s="80">
        <f t="shared" si="60"/>
        <v>36.985629411780486</v>
      </c>
      <c r="H121" s="80">
        <f t="shared" si="61"/>
        <v>3771.4986023780793</v>
      </c>
      <c r="I121" s="83">
        <f t="shared" si="62"/>
        <v>21.308282832119239</v>
      </c>
      <c r="J121" s="83">
        <f t="shared" si="63"/>
        <v>1.7041778949948705</v>
      </c>
      <c r="K121" s="113">
        <f t="shared" si="74"/>
        <v>4304.352737508646</v>
      </c>
      <c r="L121" s="90">
        <f t="shared" si="54"/>
        <v>25818374.048218235</v>
      </c>
      <c r="M121" s="91">
        <f t="shared" si="55"/>
        <v>25.818374048218235</v>
      </c>
      <c r="N121" s="91">
        <f t="shared" si="64"/>
        <v>38137.226440560218</v>
      </c>
      <c r="O121" s="91">
        <f t="shared" si="65"/>
        <v>38.137226440560219</v>
      </c>
      <c r="P121" s="91">
        <f t="shared" si="66"/>
        <v>3888.9292545968065</v>
      </c>
      <c r="Q121" s="92">
        <f t="shared" si="67"/>
        <v>21.699105459527772</v>
      </c>
      <c r="R121" s="92">
        <f t="shared" si="68"/>
        <v>1.5994225163958531</v>
      </c>
      <c r="S121" s="93">
        <f t="shared" si="75"/>
        <v>4345.8555142545856</v>
      </c>
      <c r="T121" s="102">
        <f t="shared" si="56"/>
        <v>32670657.4819781</v>
      </c>
      <c r="U121" s="103">
        <f t="shared" si="57"/>
        <v>32.670657481978097</v>
      </c>
      <c r="V121" s="103">
        <f t="shared" si="69"/>
        <v>48391.820658280514</v>
      </c>
      <c r="W121" s="103">
        <f t="shared" si="70"/>
        <v>48.391820658280515</v>
      </c>
      <c r="X121" s="103">
        <f t="shared" si="71"/>
        <v>4934.6107361661807</v>
      </c>
      <c r="Y121" s="104">
        <f t="shared" si="72"/>
        <v>27.363531609949078</v>
      </c>
      <c r="Z121" s="104">
        <f t="shared" si="73"/>
        <v>1.3181034221405628</v>
      </c>
      <c r="AA121" s="105">
        <f t="shared" si="76"/>
        <v>4383.7831549631292</v>
      </c>
    </row>
    <row r="122" spans="1:27">
      <c r="A122" s="23">
        <v>230398.2</v>
      </c>
      <c r="B122" s="23">
        <v>32.5</v>
      </c>
      <c r="C122" s="13">
        <f t="shared" ref="C122:C128" si="77">A122*2</f>
        <v>460796.4</v>
      </c>
      <c r="D122" s="112">
        <f t="shared" si="52"/>
        <v>26626648.595723312</v>
      </c>
      <c r="E122" s="80">
        <f t="shared" si="53"/>
        <v>26.62664859572331</v>
      </c>
      <c r="F122" s="80">
        <f t="shared" si="59"/>
        <v>39346.827237331134</v>
      </c>
      <c r="G122" s="80">
        <f t="shared" si="60"/>
        <v>39.346827237331134</v>
      </c>
      <c r="H122" s="80">
        <f t="shared" si="61"/>
        <v>4012.2746670451302</v>
      </c>
      <c r="I122" s="83">
        <f t="shared" si="62"/>
        <v>21.795358771956707</v>
      </c>
      <c r="J122" s="83">
        <f t="shared" si="63"/>
        <v>1.8215031632812291</v>
      </c>
      <c r="K122" s="113">
        <f t="shared" si="74"/>
        <v>4477.8629776569278</v>
      </c>
      <c r="L122" s="90">
        <f t="shared" si="54"/>
        <v>27292653.847910296</v>
      </c>
      <c r="M122" s="91">
        <f t="shared" si="55"/>
        <v>27.292653847910294</v>
      </c>
      <c r="N122" s="91">
        <f t="shared" si="64"/>
        <v>40343.518876558985</v>
      </c>
      <c r="O122" s="91">
        <f t="shared" si="65"/>
        <v>40.343518876558988</v>
      </c>
      <c r="P122" s="91">
        <f t="shared" si="66"/>
        <v>4113.9093068804732</v>
      </c>
      <c r="Q122" s="92">
        <f t="shared" si="67"/>
        <v>22.072204552414103</v>
      </c>
      <c r="R122" s="92">
        <f t="shared" si="68"/>
        <v>1.7146346390643608</v>
      </c>
      <c r="S122" s="93">
        <f t="shared" si="75"/>
        <v>4520.9666282959233</v>
      </c>
      <c r="T122" s="102">
        <f t="shared" si="56"/>
        <v>34695402.669926427</v>
      </c>
      <c r="U122" s="103">
        <f t="shared" si="57"/>
        <v>34.695402669926423</v>
      </c>
      <c r="V122" s="103">
        <f t="shared" si="69"/>
        <v>51421.896763188408</v>
      </c>
      <c r="W122" s="103">
        <f t="shared" si="70"/>
        <v>51.421896763188407</v>
      </c>
      <c r="X122" s="103">
        <f t="shared" si="71"/>
        <v>5243.5936567358476</v>
      </c>
      <c r="Y122" s="104">
        <f t="shared" si="72"/>
        <v>27.962320461490183</v>
      </c>
      <c r="Z122" s="104">
        <f t="shared" si="73"/>
        <v>1.4094658981409569</v>
      </c>
      <c r="AA122" s="105">
        <f t="shared" si="76"/>
        <v>4559.6141812145397</v>
      </c>
    </row>
    <row r="123" spans="1:27">
      <c r="A123" s="23">
        <v>227464.6</v>
      </c>
      <c r="B123" s="23">
        <v>35</v>
      </c>
      <c r="C123" s="13">
        <f t="shared" si="77"/>
        <v>454929.2</v>
      </c>
      <c r="D123" s="112">
        <f t="shared" si="52"/>
        <v>26090521.146307141</v>
      </c>
      <c r="E123" s="80">
        <f t="shared" si="53"/>
        <v>26.09052114630714</v>
      </c>
      <c r="F123" s="80">
        <f t="shared" si="59"/>
        <v>38544.500612069576</v>
      </c>
      <c r="G123" s="80">
        <f t="shared" si="60"/>
        <v>38.544500612069577</v>
      </c>
      <c r="H123" s="80">
        <f t="shared" si="61"/>
        <v>3930.4598164139588</v>
      </c>
      <c r="I123" s="83">
        <f t="shared" si="62"/>
        <v>21.631943194343602</v>
      </c>
      <c r="J123" s="83">
        <f t="shared" si="63"/>
        <v>1.936206482742832</v>
      </c>
      <c r="K123" s="113">
        <f t="shared" si="74"/>
        <v>4467.1969307991303</v>
      </c>
      <c r="L123" s="90">
        <f t="shared" si="54"/>
        <v>26792613.724734612</v>
      </c>
      <c r="M123" s="91">
        <f t="shared" si="55"/>
        <v>26.792613724734611</v>
      </c>
      <c r="N123" s="91">
        <f t="shared" si="64"/>
        <v>39595.197735830581</v>
      </c>
      <c r="O123" s="91">
        <f t="shared" si="65"/>
        <v>39.595197735830581</v>
      </c>
      <c r="P123" s="91">
        <f t="shared" si="66"/>
        <v>4037.6015035181158</v>
      </c>
      <c r="Q123" s="92">
        <f t="shared" si="67"/>
        <v>21.947259172473519</v>
      </c>
      <c r="R123" s="92">
        <f t="shared" si="68"/>
        <v>1.8278992653532</v>
      </c>
      <c r="S123" s="93">
        <f t="shared" si="75"/>
        <v>4527.1144315558658</v>
      </c>
      <c r="T123" s="102">
        <f t="shared" si="56"/>
        <v>34007617.470484734</v>
      </c>
      <c r="U123" s="103">
        <f t="shared" si="57"/>
        <v>34.007617470484732</v>
      </c>
      <c r="V123" s="103">
        <f t="shared" si="69"/>
        <v>50392.610949574817</v>
      </c>
      <c r="W123" s="103">
        <f t="shared" si="70"/>
        <v>50.392610949574816</v>
      </c>
      <c r="X123" s="103">
        <f t="shared" si="71"/>
        <v>5138.6353237500425</v>
      </c>
      <c r="Y123" s="104">
        <f t="shared" si="72"/>
        <v>27.761488457992421</v>
      </c>
      <c r="Z123" s="104">
        <f t="shared" si="73"/>
        <v>1.4988719259219134</v>
      </c>
      <c r="AA123" s="105">
        <f t="shared" si="76"/>
        <v>4551.4153525358606</v>
      </c>
    </row>
    <row r="124" spans="1:27">
      <c r="A124" s="23">
        <v>232761.2</v>
      </c>
      <c r="B124" s="23">
        <v>37.5</v>
      </c>
      <c r="C124" s="13">
        <f t="shared" si="77"/>
        <v>465522.4</v>
      </c>
      <c r="D124" s="112">
        <f t="shared" si="52"/>
        <v>27061423.807416998</v>
      </c>
      <c r="E124" s="80">
        <f t="shared" si="53"/>
        <v>27.061423807416997</v>
      </c>
      <c r="F124" s="80">
        <f t="shared" si="59"/>
        <v>39997.477989732339</v>
      </c>
      <c r="G124" s="80">
        <f t="shared" si="60"/>
        <v>39.997477989732339</v>
      </c>
      <c r="H124" s="80">
        <f t="shared" si="61"/>
        <v>4078.6228255689857</v>
      </c>
      <c r="I124" s="83">
        <f t="shared" si="62"/>
        <v>21.926365670359953</v>
      </c>
      <c r="J124" s="83">
        <f t="shared" si="63"/>
        <v>2.0517763128565552</v>
      </c>
      <c r="K124" s="113">
        <f t="shared" si="74"/>
        <v>4538.5415619029618</v>
      </c>
      <c r="L124" s="90">
        <f t="shared" si="54"/>
        <v>27697491.402728673</v>
      </c>
      <c r="M124" s="91">
        <f t="shared" si="55"/>
        <v>27.697491402728673</v>
      </c>
      <c r="N124" s="91">
        <f t="shared" si="64"/>
        <v>40949.367261099418</v>
      </c>
      <c r="O124" s="91">
        <f t="shared" si="65"/>
        <v>40.949367261099418</v>
      </c>
      <c r="P124" s="91">
        <f t="shared" si="66"/>
        <v>4175.6888783488293</v>
      </c>
      <c r="Q124" s="92">
        <f t="shared" si="67"/>
        <v>22.172204508081382</v>
      </c>
      <c r="R124" s="92">
        <f t="shared" si="68"/>
        <v>1.9418087052679356</v>
      </c>
      <c r="S124" s="93">
        <f t="shared" si="75"/>
        <v>4587.3931434881561</v>
      </c>
      <c r="T124" s="102">
        <f t="shared" si="56"/>
        <v>35253006.405778609</v>
      </c>
      <c r="U124" s="103">
        <f t="shared" si="57"/>
        <v>35.253006405778606</v>
      </c>
      <c r="V124" s="103">
        <f t="shared" si="69"/>
        <v>52256.363127681958</v>
      </c>
      <c r="W124" s="103">
        <f t="shared" si="70"/>
        <v>52.256363127681958</v>
      </c>
      <c r="X124" s="103">
        <f t="shared" si="71"/>
        <v>5328.6858608559842</v>
      </c>
      <c r="Y124" s="104">
        <f t="shared" si="72"/>
        <v>28.123277397203289</v>
      </c>
      <c r="Z124" s="104">
        <f t="shared" si="73"/>
        <v>1.5889247342856616</v>
      </c>
      <c r="AA124" s="105">
        <f t="shared" si="76"/>
        <v>4621.9141956572794</v>
      </c>
    </row>
    <row r="125" spans="1:27">
      <c r="A125" s="23">
        <v>226542.2</v>
      </c>
      <c r="B125" s="23">
        <v>40</v>
      </c>
      <c r="C125" s="13">
        <f t="shared" si="77"/>
        <v>453084.4</v>
      </c>
      <c r="D125" s="112">
        <f t="shared" si="52"/>
        <v>25922783.737976976</v>
      </c>
      <c r="E125" s="80">
        <f t="shared" si="53"/>
        <v>25.922783737976975</v>
      </c>
      <c r="F125" s="80">
        <f t="shared" si="59"/>
        <v>38293.477858240767</v>
      </c>
      <c r="G125" s="80">
        <f t="shared" si="60"/>
        <v>38.29347785824077</v>
      </c>
      <c r="H125" s="80">
        <f t="shared" si="61"/>
        <v>3904.8625241605278</v>
      </c>
      <c r="I125" s="83">
        <f t="shared" si="62"/>
        <v>21.580381624119106</v>
      </c>
      <c r="J125" s="83">
        <f t="shared" si="63"/>
        <v>2.165794296392217</v>
      </c>
      <c r="K125" s="113">
        <f t="shared" si="74"/>
        <v>4463.2884574327127</v>
      </c>
      <c r="L125" s="90">
        <f t="shared" si="54"/>
        <v>26635975.856108334</v>
      </c>
      <c r="M125" s="91">
        <f t="shared" si="55"/>
        <v>26.635975856108331</v>
      </c>
      <c r="N125" s="91">
        <f t="shared" si="64"/>
        <v>39360.785689478653</v>
      </c>
      <c r="O125" s="91">
        <f t="shared" si="65"/>
        <v>39.360785689478654</v>
      </c>
      <c r="P125" s="91">
        <f t="shared" si="66"/>
        <v>4013.6980383275172</v>
      </c>
      <c r="Q125" s="92">
        <f t="shared" si="67"/>
        <v>21.907787808116336</v>
      </c>
      <c r="R125" s="92">
        <f t="shared" si="68"/>
        <v>2.0545624911663469</v>
      </c>
      <c r="S125" s="93">
        <f t="shared" si="75"/>
        <v>4527.6368956290744</v>
      </c>
      <c r="T125" s="102">
        <f t="shared" si="56"/>
        <v>33792385.977976277</v>
      </c>
      <c r="U125" s="103">
        <f t="shared" si="57"/>
        <v>33.792385977976274</v>
      </c>
      <c r="V125" s="103">
        <f t="shared" si="69"/>
        <v>50070.512244831451</v>
      </c>
      <c r="W125" s="103">
        <f t="shared" si="70"/>
        <v>50.070512244831448</v>
      </c>
      <c r="X125" s="103">
        <f t="shared" si="71"/>
        <v>5105.7902746299524</v>
      </c>
      <c r="Y125" s="104">
        <f t="shared" si="72"/>
        <v>27.698107824494613</v>
      </c>
      <c r="Z125" s="104">
        <f t="shared" si="73"/>
        <v>1.6778190677835281</v>
      </c>
      <c r="AA125" s="105">
        <f t="shared" si="76"/>
        <v>4548.1396925794124</v>
      </c>
    </row>
    <row r="126" spans="1:27">
      <c r="A126" s="23">
        <v>230573.3</v>
      </c>
      <c r="B126" s="23">
        <v>42.5</v>
      </c>
      <c r="C126" s="13">
        <f t="shared" si="77"/>
        <v>461146.6</v>
      </c>
      <c r="D126" s="112">
        <f t="shared" si="52"/>
        <v>26658776.316942114</v>
      </c>
      <c r="E126" s="80">
        <f t="shared" si="53"/>
        <v>26.658776316942113</v>
      </c>
      <c r="F126" s="80">
        <f t="shared" si="59"/>
        <v>39394.907085081686</v>
      </c>
      <c r="G126" s="80">
        <f t="shared" si="60"/>
        <v>39.394907085081684</v>
      </c>
      <c r="H126" s="80">
        <f t="shared" si="61"/>
        <v>4017.177465279949</v>
      </c>
      <c r="I126" s="83">
        <f t="shared" si="62"/>
        <v>21.80508544175882</v>
      </c>
      <c r="J126" s="83">
        <f t="shared" si="63"/>
        <v>2.2816402551683073</v>
      </c>
      <c r="K126" s="113">
        <f t="shared" si="74"/>
        <v>4499.9427197625828</v>
      </c>
      <c r="L126" s="90">
        <f t="shared" si="54"/>
        <v>27322589.773355603</v>
      </c>
      <c r="M126" s="91">
        <f t="shared" si="55"/>
        <v>27.322589773355602</v>
      </c>
      <c r="N126" s="91">
        <f t="shared" si="64"/>
        <v>40388.318653296345</v>
      </c>
      <c r="O126" s="91">
        <f t="shared" si="65"/>
        <v>40.388318653296345</v>
      </c>
      <c r="P126" s="91">
        <f t="shared" si="66"/>
        <v>4118.4776297139342</v>
      </c>
      <c r="Q126" s="92">
        <f t="shared" si="67"/>
        <v>22.079634162511564</v>
      </c>
      <c r="R126" s="92">
        <f t="shared" si="68"/>
        <v>2.1686771622548537</v>
      </c>
      <c r="S126" s="93">
        <f t="shared" si="75"/>
        <v>4550.2714058393894</v>
      </c>
      <c r="T126" s="102">
        <f t="shared" si="56"/>
        <v>34736611.646728709</v>
      </c>
      <c r="U126" s="103">
        <f t="shared" si="57"/>
        <v>34.736611646728704</v>
      </c>
      <c r="V126" s="103">
        <f t="shared" si="69"/>
        <v>51483.566911441892</v>
      </c>
      <c r="W126" s="103">
        <f t="shared" si="70"/>
        <v>51.483566911441891</v>
      </c>
      <c r="X126" s="103">
        <f t="shared" si="71"/>
        <v>5249.8822850935521</v>
      </c>
      <c r="Y126" s="104">
        <f t="shared" si="72"/>
        <v>27.974272187254844</v>
      </c>
      <c r="Z126" s="104">
        <f t="shared" si="73"/>
        <v>1.7680779409109242</v>
      </c>
      <c r="AA126" s="105">
        <f t="shared" si="76"/>
        <v>4583.0783730678086</v>
      </c>
    </row>
    <row r="127" spans="1:27">
      <c r="A127" s="23">
        <v>234394.8</v>
      </c>
      <c r="B127" s="22">
        <v>45</v>
      </c>
      <c r="C127" s="13">
        <f t="shared" si="77"/>
        <v>468789.6</v>
      </c>
      <c r="D127" s="112">
        <f t="shared" si="52"/>
        <v>27363515.307739712</v>
      </c>
      <c r="E127" s="80">
        <f t="shared" si="53"/>
        <v>27.363515307739711</v>
      </c>
      <c r="F127" s="80">
        <f t="shared" si="59"/>
        <v>40449.564623681152</v>
      </c>
      <c r="G127" s="80">
        <f t="shared" si="60"/>
        <v>40.449564623681155</v>
      </c>
      <c r="H127" s="80">
        <f t="shared" si="61"/>
        <v>4124.7230038060143</v>
      </c>
      <c r="I127" s="83">
        <f t="shared" si="62"/>
        <v>22.016613262319453</v>
      </c>
      <c r="J127" s="83">
        <f t="shared" si="63"/>
        <v>2.3962924085238848</v>
      </c>
      <c r="K127" s="113">
        <f t="shared" si="74"/>
        <v>4577.1703074740744</v>
      </c>
      <c r="L127" s="90">
        <f t="shared" si="54"/>
        <v>27978433.021047134</v>
      </c>
      <c r="M127" s="91">
        <f t="shared" si="55"/>
        <v>27.978433021047131</v>
      </c>
      <c r="N127" s="91">
        <f t="shared" si="64"/>
        <v>41369.802627291589</v>
      </c>
      <c r="O127" s="91">
        <f t="shared" si="65"/>
        <v>41.369802627291591</v>
      </c>
      <c r="P127" s="91">
        <f t="shared" si="66"/>
        <v>4218.561513510178</v>
      </c>
      <c r="Q127" s="92">
        <f t="shared" si="67"/>
        <v>22.241006740945615</v>
      </c>
      <c r="R127" s="92">
        <f t="shared" si="68"/>
        <v>2.2819036759551885</v>
      </c>
      <c r="S127" s="93">
        <f t="shared" si="75"/>
        <v>4628.59351964506</v>
      </c>
      <c r="T127" s="102">
        <f t="shared" si="56"/>
        <v>35640359.351964019</v>
      </c>
      <c r="U127" s="103">
        <f t="shared" si="57"/>
        <v>35.640359351964015</v>
      </c>
      <c r="V127" s="103">
        <f t="shared" si="69"/>
        <v>52836.045407402016</v>
      </c>
      <c r="W127" s="103">
        <f t="shared" si="70"/>
        <v>52.836045407402018</v>
      </c>
      <c r="X127" s="103">
        <f t="shared" si="71"/>
        <v>5387.7972222835979</v>
      </c>
      <c r="Y127" s="104">
        <f t="shared" si="72"/>
        <v>28.234133233215786</v>
      </c>
      <c r="Z127" s="104">
        <f t="shared" si="73"/>
        <v>1.8574457708678733</v>
      </c>
      <c r="AA127" s="105">
        <f t="shared" si="76"/>
        <v>4661.4086874426494</v>
      </c>
    </row>
    <row r="128" spans="1:27">
      <c r="A128" s="23">
        <v>205818</v>
      </c>
      <c r="B128" s="23">
        <v>47.5</v>
      </c>
      <c r="C128" s="13">
        <f t="shared" si="77"/>
        <v>411636</v>
      </c>
      <c r="D128" s="112">
        <f t="shared" si="52"/>
        <v>22261043.061383042</v>
      </c>
      <c r="E128" s="80">
        <f t="shared" si="53"/>
        <v>22.261043061383042</v>
      </c>
      <c r="F128" s="80">
        <f t="shared" si="59"/>
        <v>32813.601677989456</v>
      </c>
      <c r="G128" s="80">
        <f t="shared" si="60"/>
        <v>32.81360167798946</v>
      </c>
      <c r="H128" s="80">
        <f t="shared" si="61"/>
        <v>3346.0685903079411</v>
      </c>
      <c r="I128" s="83">
        <f t="shared" si="62"/>
        <v>20.398054763452279</v>
      </c>
      <c r="J128" s="83">
        <f t="shared" si="63"/>
        <v>2.5098430246069974</v>
      </c>
      <c r="K128" s="113">
        <f t="shared" si="74"/>
        <v>4159.5388348771139</v>
      </c>
      <c r="L128" s="90">
        <f t="shared" si="54"/>
        <v>23192355.570799097</v>
      </c>
      <c r="M128" s="91">
        <f t="shared" si="55"/>
        <v>23.192355570799098</v>
      </c>
      <c r="N128" s="91">
        <f t="shared" si="64"/>
        <v>34207.331515096943</v>
      </c>
      <c r="O128" s="91">
        <f t="shared" si="65"/>
        <v>34.207331515096946</v>
      </c>
      <c r="P128" s="91">
        <f t="shared" si="66"/>
        <v>3488.1900092574656</v>
      </c>
      <c r="Q128" s="92">
        <f t="shared" si="67"/>
        <v>20.996191927509862</v>
      </c>
      <c r="R128" s="92">
        <f t="shared" si="68"/>
        <v>2.3943086596467547</v>
      </c>
      <c r="S128" s="93">
        <f t="shared" si="75"/>
        <v>4247.6232653652451</v>
      </c>
      <c r="T128" s="102">
        <f t="shared" si="56"/>
        <v>29088150.399047274</v>
      </c>
      <c r="U128" s="103">
        <f t="shared" si="57"/>
        <v>29.088150399047272</v>
      </c>
      <c r="V128" s="103">
        <f t="shared" si="69"/>
        <v>43030.519309219613</v>
      </c>
      <c r="W128" s="103">
        <f t="shared" si="70"/>
        <v>43.030519309219613</v>
      </c>
      <c r="X128" s="103">
        <f t="shared" si="71"/>
        <v>4387.9081149997419</v>
      </c>
      <c r="Y128" s="104">
        <f t="shared" si="72"/>
        <v>26.242977710406201</v>
      </c>
      <c r="Z128" s="104">
        <f t="shared" si="73"/>
        <v>1.9459910780444682</v>
      </c>
      <c r="AA128" s="105">
        <f t="shared" si="76"/>
        <v>4244.267210399089</v>
      </c>
    </row>
    <row r="129" spans="1:27">
      <c r="A129" s="23"/>
      <c r="B129" s="23">
        <v>50</v>
      </c>
      <c r="C129" s="13">
        <f>255.2*816.6</f>
        <v>208396.32</v>
      </c>
      <c r="D129" s="112">
        <f t="shared" si="52"/>
        <v>7556177.8344312385</v>
      </c>
      <c r="E129" s="80">
        <f t="shared" si="53"/>
        <v>7.5561778344312378</v>
      </c>
      <c r="F129" s="80">
        <f t="shared" si="59"/>
        <v>10807.444550026605</v>
      </c>
      <c r="G129" s="80">
        <f t="shared" si="60"/>
        <v>10.807444550026604</v>
      </c>
      <c r="H129" s="80">
        <f t="shared" si="61"/>
        <v>1102.0567356553129</v>
      </c>
      <c r="I129" s="83">
        <f t="shared" si="62"/>
        <v>13.676303120229719</v>
      </c>
      <c r="J129" s="83">
        <f t="shared" si="63"/>
        <v>2.632403730958238</v>
      </c>
      <c r="K129" s="113">
        <f t="shared" si="74"/>
        <v>2673.1131187428841</v>
      </c>
      <c r="L129" s="90">
        <f t="shared" si="54"/>
        <v>8684803.7038499247</v>
      </c>
      <c r="M129" s="91">
        <f t="shared" si="55"/>
        <v>8.6848037038499246</v>
      </c>
      <c r="N129" s="91">
        <f t="shared" si="64"/>
        <v>12496.458208961018</v>
      </c>
      <c r="O129" s="91">
        <f t="shared" si="65"/>
        <v>12.496458208961018</v>
      </c>
      <c r="P129" s="91">
        <f t="shared" si="66"/>
        <v>1274.2888364841729</v>
      </c>
      <c r="Q129" s="92">
        <f t="shared" si="67"/>
        <v>15.530269202913512</v>
      </c>
      <c r="R129" s="92">
        <f t="shared" si="68"/>
        <v>2.5133778703222593</v>
      </c>
      <c r="S129" s="93">
        <f t="shared" si="75"/>
        <v>2780.4916889991641</v>
      </c>
      <c r="T129" s="102">
        <f t="shared" si="56"/>
        <v>10041641.096361451</v>
      </c>
      <c r="U129" s="103">
        <f t="shared" si="57"/>
        <v>10.041641096361451</v>
      </c>
      <c r="V129" s="103">
        <f t="shared" si="69"/>
        <v>14526.995476448337</v>
      </c>
      <c r="W129" s="103">
        <f t="shared" si="70"/>
        <v>14.526995476448338</v>
      </c>
      <c r="X129" s="103">
        <f t="shared" si="71"/>
        <v>1481.3467827243899</v>
      </c>
      <c r="Y129" s="104">
        <f t="shared" si="72"/>
        <v>17.894723950422517</v>
      </c>
      <c r="Z129" s="104">
        <f t="shared" si="73"/>
        <v>2.0412546577947444</v>
      </c>
      <c r="AA129" s="105">
        <f t="shared" si="76"/>
        <v>2741.5674500060877</v>
      </c>
    </row>
    <row r="130" spans="1:27">
      <c r="A130" s="23"/>
      <c r="B130" s="23">
        <v>52.5</v>
      </c>
      <c r="C130" s="13">
        <f>815.7*12.624*5</f>
        <v>51486.984000000004</v>
      </c>
      <c r="D130" s="112">
        <f t="shared" si="52"/>
        <v>821304.88056508929</v>
      </c>
      <c r="E130" s="80">
        <f t="shared" si="53"/>
        <v>0.82130488056508921</v>
      </c>
      <c r="F130" s="80">
        <f t="shared" si="59"/>
        <v>728.5577209245223</v>
      </c>
      <c r="G130" s="80">
        <f t="shared" si="60"/>
        <v>0.72855772092452231</v>
      </c>
      <c r="H130" s="80">
        <f t="shared" si="61"/>
        <v>74.292487918115384</v>
      </c>
      <c r="I130" s="83">
        <f t="shared" si="62"/>
        <v>6.0167718549903064</v>
      </c>
      <c r="J130" s="83">
        <f t="shared" si="63"/>
        <v>2.8152016682386751</v>
      </c>
      <c r="K130" s="113">
        <f t="shared" si="74"/>
        <v>1054.3787097961522</v>
      </c>
      <c r="L130" s="90">
        <f t="shared" si="54"/>
        <v>1154995.3048689647</v>
      </c>
      <c r="M130" s="91">
        <f t="shared" si="55"/>
        <v>1.1549953048689647</v>
      </c>
      <c r="N130" s="91">
        <f t="shared" si="64"/>
        <v>1227.9328458232271</v>
      </c>
      <c r="O130" s="91">
        <f t="shared" si="65"/>
        <v>1.2279328458232273</v>
      </c>
      <c r="P130" s="91">
        <f t="shared" si="66"/>
        <v>125.21476815428612</v>
      </c>
      <c r="Q130" s="92">
        <f t="shared" si="67"/>
        <v>8.3597211069339021</v>
      </c>
      <c r="R130" s="92">
        <f t="shared" si="68"/>
        <v>2.6743538307087666</v>
      </c>
      <c r="S130" s="93">
        <f t="shared" si="75"/>
        <v>1104.6485153819417</v>
      </c>
      <c r="T130" s="102">
        <f t="shared" si="56"/>
        <v>1129968.321326107</v>
      </c>
      <c r="U130" s="103">
        <f t="shared" si="57"/>
        <v>1.1299683213261069</v>
      </c>
      <c r="V130" s="103">
        <f t="shared" si="69"/>
        <v>1190.4794095772675</v>
      </c>
      <c r="W130" s="103">
        <f t="shared" si="70"/>
        <v>1.1904794095772675</v>
      </c>
      <c r="X130" s="103">
        <f t="shared" si="71"/>
        <v>121.39556635341312</v>
      </c>
      <c r="Y130" s="104">
        <f t="shared" si="72"/>
        <v>8.1504046222762554</v>
      </c>
      <c r="Z130" s="104">
        <f t="shared" si="73"/>
        <v>2.1809606407943298</v>
      </c>
      <c r="AA130" s="105">
        <f t="shared" si="76"/>
        <v>1097.9126396117524</v>
      </c>
    </row>
    <row r="131" spans="1:27" ht="15.75" thickBot="1">
      <c r="A131" s="24"/>
      <c r="B131" s="24">
        <v>55</v>
      </c>
      <c r="C131" s="14">
        <f t="shared" ref="C131" si="78">A131*2</f>
        <v>0</v>
      </c>
      <c r="D131" s="114">
        <f t="shared" si="52"/>
        <v>0</v>
      </c>
      <c r="E131" s="84">
        <v>0</v>
      </c>
      <c r="F131" s="84">
        <v>0</v>
      </c>
      <c r="G131" s="84">
        <f t="shared" si="60"/>
        <v>0</v>
      </c>
      <c r="H131" s="84">
        <f t="shared" si="61"/>
        <v>0</v>
      </c>
      <c r="I131" s="85">
        <f t="shared" si="62"/>
        <v>0</v>
      </c>
      <c r="J131" s="85">
        <f t="shared" si="63"/>
        <v>3.2307068694083858</v>
      </c>
      <c r="K131" s="115">
        <f t="shared" si="74"/>
        <v>151.3597611982448</v>
      </c>
      <c r="L131" s="94">
        <f t="shared" si="54"/>
        <v>0</v>
      </c>
      <c r="M131" s="95">
        <v>0</v>
      </c>
      <c r="N131" s="95">
        <v>0</v>
      </c>
      <c r="O131" s="95">
        <f t="shared" si="65"/>
        <v>0</v>
      </c>
      <c r="P131" s="95">
        <f t="shared" si="66"/>
        <v>0</v>
      </c>
      <c r="Q131" s="96">
        <f t="shared" si="67"/>
        <v>0</v>
      </c>
      <c r="R131" s="96">
        <f t="shared" si="68"/>
        <v>2.9734068694430844</v>
      </c>
      <c r="S131" s="97">
        <f t="shared" si="75"/>
        <v>183.6085244525573</v>
      </c>
      <c r="T131" s="106">
        <f t="shared" si="56"/>
        <v>0</v>
      </c>
      <c r="U131" s="107">
        <v>0</v>
      </c>
      <c r="V131" s="107">
        <v>0</v>
      </c>
      <c r="W131" s="107">
        <f t="shared" si="70"/>
        <v>0</v>
      </c>
      <c r="X131" s="107">
        <f t="shared" si="71"/>
        <v>0</v>
      </c>
      <c r="Y131" s="108">
        <f>3.38*((U131/0.098)^0.36)</f>
        <v>0</v>
      </c>
      <c r="Z131" s="108">
        <f t="shared" si="73"/>
        <v>2.487693878696057</v>
      </c>
      <c r="AA131" s="109">
        <f t="shared" si="76"/>
        <v>182.57980197748583</v>
      </c>
    </row>
    <row r="132" spans="1:27" ht="15.75">
      <c r="K132" s="18">
        <f>SUM(K110:K131)</f>
        <v>73975.734140919943</v>
      </c>
      <c r="S132" s="18">
        <f>SUM(S110:S131)</f>
        <v>74984.298644208306</v>
      </c>
      <c r="AA132" s="18">
        <f>SUM(AA110:AA131)</f>
        <v>75503.641489271118</v>
      </c>
    </row>
    <row r="158" spans="1:22" ht="15.75" thickBot="1"/>
    <row r="159" spans="1:22" ht="15.75" thickBot="1">
      <c r="A159" s="218" t="s">
        <v>22</v>
      </c>
      <c r="B159" s="220" t="s">
        <v>24</v>
      </c>
      <c r="C159" s="214"/>
      <c r="D159" s="214"/>
      <c r="E159" s="214"/>
      <c r="F159" s="214"/>
      <c r="G159" s="214"/>
      <c r="H159" s="214"/>
      <c r="I159" s="215"/>
      <c r="V159" s="224"/>
    </row>
    <row r="160" spans="1:22" ht="15.75" thickBot="1">
      <c r="A160" s="219"/>
      <c r="B160" s="63">
        <v>3.9220000000000002</v>
      </c>
      <c r="C160" s="63">
        <v>5.883</v>
      </c>
      <c r="D160" s="63">
        <v>7.8449999999999998</v>
      </c>
      <c r="E160" s="63">
        <v>9.8059999999999992</v>
      </c>
      <c r="F160" s="63">
        <v>11.768000000000001</v>
      </c>
      <c r="G160" s="63">
        <v>13.728999999999999</v>
      </c>
      <c r="H160" s="63">
        <v>15.69</v>
      </c>
      <c r="I160" s="63">
        <v>17.658200000000001</v>
      </c>
      <c r="U160" s="8"/>
      <c r="V160" s="224"/>
    </row>
    <row r="161" spans="1:9">
      <c r="A161" s="65">
        <v>20</v>
      </c>
      <c r="B161" s="66">
        <v>11</v>
      </c>
      <c r="C161" s="66">
        <v>14</v>
      </c>
      <c r="D161" s="66">
        <v>15</v>
      </c>
      <c r="E161" s="66">
        <v>15.6</v>
      </c>
      <c r="F161" s="66">
        <v>17.600000000000001</v>
      </c>
      <c r="G161" s="66">
        <v>19</v>
      </c>
      <c r="H161" s="66">
        <v>19.8</v>
      </c>
      <c r="I161" s="67">
        <v>20.6</v>
      </c>
    </row>
    <row r="162" spans="1:9">
      <c r="A162" s="68">
        <v>50</v>
      </c>
      <c r="B162" s="64">
        <v>12.3</v>
      </c>
      <c r="C162" s="64">
        <v>15</v>
      </c>
      <c r="D162" s="64">
        <v>16.8</v>
      </c>
      <c r="E162" s="64">
        <v>18.2</v>
      </c>
      <c r="F162" s="64">
        <v>19.3</v>
      </c>
      <c r="G162" s="64">
        <v>20.7</v>
      </c>
      <c r="H162" s="64">
        <v>21.1</v>
      </c>
      <c r="I162" s="69">
        <v>21.9</v>
      </c>
    </row>
    <row r="163" spans="1:9" ht="15.75" thickBot="1">
      <c r="A163" s="70">
        <v>-50</v>
      </c>
      <c r="B163" s="71">
        <v>10.6</v>
      </c>
      <c r="C163" s="71">
        <v>12.8</v>
      </c>
      <c r="D163" s="71">
        <v>14.6</v>
      </c>
      <c r="E163" s="71">
        <v>15.6</v>
      </c>
      <c r="F163" s="71">
        <v>16.7</v>
      </c>
      <c r="G163" s="71">
        <v>17.5</v>
      </c>
      <c r="H163" s="71">
        <v>18.399999999999999</v>
      </c>
      <c r="I163" s="72">
        <v>18.7</v>
      </c>
    </row>
    <row r="168" spans="1:9" ht="15.75" thickBot="1">
      <c r="A168" s="76" t="s">
        <v>34</v>
      </c>
    </row>
    <row r="169" spans="1:9">
      <c r="A169" s="73" t="s">
        <v>23</v>
      </c>
      <c r="B169" s="74">
        <v>60</v>
      </c>
      <c r="C169" s="74">
        <v>80</v>
      </c>
      <c r="D169" s="74">
        <v>100</v>
      </c>
      <c r="E169" s="74">
        <v>120</v>
      </c>
      <c r="F169" s="74">
        <v>140</v>
      </c>
      <c r="G169" s="75">
        <v>160</v>
      </c>
    </row>
    <row r="170" spans="1:9" ht="15.75" thickBot="1">
      <c r="A170" s="14" t="s">
        <v>25</v>
      </c>
      <c r="B170" s="61">
        <v>14</v>
      </c>
      <c r="C170" s="61">
        <v>15</v>
      </c>
      <c r="D170" s="61">
        <v>15.6</v>
      </c>
      <c r="E170" s="61">
        <v>17.600000000000001</v>
      </c>
      <c r="F170" s="61">
        <v>19</v>
      </c>
      <c r="G170" s="62">
        <v>19.8</v>
      </c>
    </row>
    <row r="172" spans="1:9" ht="15.75" thickBot="1">
      <c r="A172" s="77" t="s">
        <v>35</v>
      </c>
    </row>
    <row r="173" spans="1:9">
      <c r="A173" s="73" t="s">
        <v>26</v>
      </c>
      <c r="B173" s="74">
        <f>LN(B169)</f>
        <v>4.0943445622221004</v>
      </c>
      <c r="C173" s="74">
        <f t="shared" ref="C173:F173" si="79">LN(C169)</f>
        <v>4.3820266346738812</v>
      </c>
      <c r="D173" s="74">
        <f t="shared" si="79"/>
        <v>4.6051701859880918</v>
      </c>
      <c r="E173" s="74">
        <f t="shared" si="79"/>
        <v>4.7874917427820458</v>
      </c>
      <c r="F173" s="74">
        <f t="shared" si="79"/>
        <v>4.9416424226093039</v>
      </c>
      <c r="G173" s="74">
        <f t="shared" ref="G173" si="80">LN(G169)</f>
        <v>5.0751738152338266</v>
      </c>
    </row>
    <row r="174" spans="1:9">
      <c r="A174" s="13" t="s">
        <v>27</v>
      </c>
      <c r="B174" s="8">
        <f>LN(B170)</f>
        <v>2.6390573296152584</v>
      </c>
      <c r="C174" s="8">
        <f>LN(C170)</f>
        <v>2.7080502011022101</v>
      </c>
      <c r="D174" s="8">
        <f>LN(D170)</f>
        <v>2.7472709142554912</v>
      </c>
      <c r="E174" s="8">
        <f>LN(E170)</f>
        <v>2.8678989020441064</v>
      </c>
      <c r="F174" s="8">
        <f>LN(F170)</f>
        <v>2.9444389791664403</v>
      </c>
      <c r="G174" s="8">
        <f>LN(G170)</f>
        <v>2.9856819377004897</v>
      </c>
    </row>
    <row r="175" spans="1:9" ht="15.75" thickBot="1">
      <c r="A175" s="14" t="s">
        <v>32</v>
      </c>
      <c r="B175" s="61">
        <f>B173^2</f>
        <v>16.763657394197683</v>
      </c>
      <c r="C175" s="61">
        <f t="shared" ref="C175:D175" si="81">C173^2</f>
        <v>19.202157426991302</v>
      </c>
      <c r="D175" s="61">
        <f t="shared" si="81"/>
        <v>21.207592441913597</v>
      </c>
      <c r="E175" s="61">
        <f>E173^2</f>
        <v>22.920077187206271</v>
      </c>
      <c r="F175" s="61">
        <f>F173^2</f>
        <v>24.419829832931949</v>
      </c>
      <c r="G175" s="61">
        <f>G173^2</f>
        <v>25.757389254835076</v>
      </c>
    </row>
    <row r="177" spans="1:20" ht="15.75" thickBot="1">
      <c r="A177" s="76" t="s">
        <v>35</v>
      </c>
    </row>
    <row r="178" spans="1:20">
      <c r="A178" s="73" t="s">
        <v>28</v>
      </c>
      <c r="B178" s="75">
        <f>(1/6)*SUM(B173:G173)</f>
        <v>4.6476415605848747</v>
      </c>
    </row>
    <row r="179" spans="1:20">
      <c r="A179" s="13" t="s">
        <v>29</v>
      </c>
      <c r="B179" s="60">
        <f>(1/6)*SUM(B173*B174,C173*C174,D173*D174,E173*E174,F174*F173,G173*G174)</f>
        <v>13.126144986177561</v>
      </c>
      <c r="L179" s="4"/>
      <c r="O179" s="4"/>
      <c r="P179" s="4"/>
      <c r="Q179" s="4"/>
      <c r="R179" s="4"/>
      <c r="S179" s="4"/>
      <c r="T179" s="4"/>
    </row>
    <row r="180" spans="1:20">
      <c r="A180" s="13" t="s">
        <v>30</v>
      </c>
      <c r="B180" s="60">
        <f>(1/6)*SUM(B174:G174)</f>
        <v>2.8153997106473327</v>
      </c>
      <c r="L180" s="4"/>
      <c r="O180" s="4"/>
      <c r="P180" s="4"/>
      <c r="Q180" s="4"/>
      <c r="R180" s="4"/>
      <c r="S180" s="4"/>
      <c r="T180" s="4"/>
    </row>
    <row r="181" spans="1:20" ht="15.75" thickBot="1">
      <c r="A181" s="14" t="s">
        <v>31</v>
      </c>
      <c r="B181" s="62">
        <f>(1/6)*SUM(B175:G175)</f>
        <v>21.711783923012646</v>
      </c>
      <c r="L181" s="4"/>
      <c r="T181" s="4"/>
    </row>
    <row r="182" spans="1:20">
      <c r="L182" s="4"/>
      <c r="T182" s="4"/>
    </row>
    <row r="183" spans="1:20" ht="15.75" thickBot="1">
      <c r="A183" s="76" t="s">
        <v>35</v>
      </c>
      <c r="L183" s="4"/>
      <c r="T183" s="4"/>
    </row>
    <row r="184" spans="1:20">
      <c r="A184" s="73" t="s">
        <v>37</v>
      </c>
      <c r="B184" s="75">
        <f>(B179-B178*B180)/(B181-B178^2)</f>
        <v>0.37025085276816871</v>
      </c>
      <c r="L184" s="4"/>
      <c r="M184" s="3"/>
      <c r="N184" s="3"/>
      <c r="O184" s="3"/>
      <c r="P184" s="3"/>
      <c r="Q184" s="3"/>
      <c r="R184" s="3"/>
      <c r="S184" s="3"/>
      <c r="T184" s="4"/>
    </row>
    <row r="185" spans="1:20" ht="15.75" thickBot="1">
      <c r="A185" s="14" t="s">
        <v>38</v>
      </c>
      <c r="B185" s="62">
        <f>B180-B178*(B184)</f>
        <v>1.0946064594800005</v>
      </c>
      <c r="L185" s="4"/>
      <c r="M185" s="4"/>
      <c r="N185" s="4"/>
      <c r="O185" s="4"/>
      <c r="P185" s="4"/>
      <c r="Q185" s="4"/>
      <c r="R185" s="4"/>
      <c r="S185" s="4"/>
      <c r="T185" s="4"/>
    </row>
    <row r="186" spans="1:20">
      <c r="A186" s="73" t="s">
        <v>39</v>
      </c>
      <c r="B186" s="75">
        <f>B184</f>
        <v>0.37025085276816871</v>
      </c>
      <c r="L186" s="4"/>
      <c r="M186" s="4"/>
      <c r="N186" s="4"/>
      <c r="O186" s="4"/>
      <c r="P186" s="4"/>
      <c r="Q186" s="4"/>
      <c r="R186" s="4"/>
      <c r="S186" s="4"/>
      <c r="T186" s="4"/>
    </row>
    <row r="187" spans="1:20" ht="15.75" thickBot="1">
      <c r="A187" s="14" t="s">
        <v>40</v>
      </c>
      <c r="B187" s="62">
        <f>EXP(B185)</f>
        <v>2.9880065503289552</v>
      </c>
      <c r="L187" s="4"/>
      <c r="M187" s="4"/>
      <c r="N187" s="4"/>
      <c r="O187" s="4"/>
      <c r="P187" s="4"/>
      <c r="Q187" s="4"/>
      <c r="R187" s="4"/>
      <c r="S187" s="4"/>
      <c r="T187" s="4"/>
    </row>
    <row r="188" spans="1:20">
      <c r="L188" s="4"/>
      <c r="M188" s="4"/>
      <c r="N188" s="4"/>
      <c r="O188" s="4"/>
      <c r="P188" s="4"/>
      <c r="Q188" s="4"/>
      <c r="R188" s="4"/>
      <c r="S188" s="4"/>
      <c r="T188" s="4"/>
    </row>
    <row r="189" spans="1:20" ht="15.75" thickBot="1">
      <c r="A189" s="77" t="s">
        <v>36</v>
      </c>
      <c r="L189" s="4"/>
      <c r="M189" s="4"/>
      <c r="N189" s="4"/>
      <c r="O189" s="4"/>
      <c r="P189" s="4"/>
      <c r="Q189" s="4"/>
      <c r="R189" s="4"/>
      <c r="S189" s="4"/>
      <c r="T189" s="4"/>
    </row>
    <row r="190" spans="1:20">
      <c r="A190" s="73" t="s">
        <v>23</v>
      </c>
      <c r="B190" s="74">
        <f>B169</f>
        <v>60</v>
      </c>
      <c r="C190" s="74">
        <f>C169</f>
        <v>80</v>
      </c>
      <c r="D190" s="74">
        <f>D169</f>
        <v>100</v>
      </c>
      <c r="E190" s="74">
        <v>120</v>
      </c>
      <c r="F190" s="74">
        <v>140</v>
      </c>
      <c r="G190" s="75">
        <v>160</v>
      </c>
      <c r="L190" s="4"/>
      <c r="M190" s="4"/>
      <c r="N190" s="4"/>
      <c r="O190" s="4"/>
      <c r="P190" s="4"/>
      <c r="Q190" s="4"/>
      <c r="R190" s="4"/>
      <c r="S190" s="4"/>
      <c r="T190" s="4"/>
    </row>
    <row r="191" spans="1:20" ht="15.75" thickBot="1">
      <c r="A191" s="14" t="s">
        <v>33</v>
      </c>
      <c r="B191" s="61">
        <f t="shared" ref="B191:G191" si="82">$B$187*B190^($B$186)</f>
        <v>13.606410271258422</v>
      </c>
      <c r="C191" s="61">
        <f t="shared" si="82"/>
        <v>15.135690404025526</v>
      </c>
      <c r="D191" s="61">
        <f t="shared" si="82"/>
        <v>16.439297342399041</v>
      </c>
      <c r="E191" s="61">
        <f t="shared" si="82"/>
        <v>17.587340612686383</v>
      </c>
      <c r="F191" s="61">
        <f t="shared" si="82"/>
        <v>18.6203260144297</v>
      </c>
      <c r="G191" s="62">
        <f t="shared" si="82"/>
        <v>19.564053797941661</v>
      </c>
      <c r="L191" s="4"/>
      <c r="M191" s="4"/>
      <c r="N191" s="4"/>
      <c r="O191" s="4"/>
      <c r="P191" s="4"/>
      <c r="Q191" s="4"/>
      <c r="R191" s="4"/>
      <c r="S191" s="4"/>
      <c r="T191" s="4"/>
    </row>
    <row r="196" spans="1:3">
      <c r="A196" s="127">
        <f>B109</f>
        <v>0</v>
      </c>
      <c r="B196" s="127">
        <f>C109/1000</f>
        <v>224.81798999999998</v>
      </c>
      <c r="C196" s="127">
        <f>B196*190/470</f>
        <v>90.883868297872326</v>
      </c>
    </row>
    <row r="197" spans="1:3">
      <c r="A197" s="127">
        <f t="shared" ref="A197:A217" si="83">B110</f>
        <v>2.5</v>
      </c>
      <c r="B197" s="127">
        <f t="shared" ref="B197:B218" si="84">C110/1000</f>
        <v>244.87860000000001</v>
      </c>
      <c r="C197" s="127">
        <f t="shared" ref="C197:C218" si="85">B197*190/470</f>
        <v>98.993476595744681</v>
      </c>
    </row>
    <row r="198" spans="1:3">
      <c r="A198" s="127">
        <f t="shared" si="83"/>
        <v>5</v>
      </c>
      <c r="B198" s="127">
        <f t="shared" si="84"/>
        <v>258.17399999999998</v>
      </c>
      <c r="C198" s="127">
        <f t="shared" si="85"/>
        <v>104.36821276595744</v>
      </c>
    </row>
    <row r="199" spans="1:3">
      <c r="A199" s="127">
        <f t="shared" si="83"/>
        <v>7.5</v>
      </c>
      <c r="B199" s="127">
        <f t="shared" si="84"/>
        <v>284.98480000000001</v>
      </c>
      <c r="C199" s="127">
        <f t="shared" si="85"/>
        <v>115.20662127659574</v>
      </c>
    </row>
    <row r="200" spans="1:3">
      <c r="A200" s="127">
        <f t="shared" si="83"/>
        <v>10</v>
      </c>
      <c r="B200" s="127">
        <f t="shared" si="84"/>
        <v>304.38220000000001</v>
      </c>
      <c r="C200" s="127">
        <f t="shared" si="85"/>
        <v>123.04812340425532</v>
      </c>
    </row>
    <row r="201" spans="1:3">
      <c r="A201" s="127">
        <f t="shared" si="83"/>
        <v>12.5</v>
      </c>
      <c r="B201" s="127">
        <f t="shared" si="84"/>
        <v>321.0992</v>
      </c>
      <c r="C201" s="127">
        <f t="shared" si="85"/>
        <v>129.80605957446809</v>
      </c>
    </row>
    <row r="202" spans="1:3">
      <c r="A202" s="127">
        <f t="shared" si="83"/>
        <v>15</v>
      </c>
      <c r="B202" s="127">
        <f t="shared" si="84"/>
        <v>340.11859999999996</v>
      </c>
      <c r="C202" s="127">
        <f t="shared" si="85"/>
        <v>137.49475319148934</v>
      </c>
    </row>
    <row r="203" spans="1:3">
      <c r="A203" s="127">
        <f t="shared" si="83"/>
        <v>17.5</v>
      </c>
      <c r="B203" s="127">
        <f t="shared" si="84"/>
        <v>359.47379999999998</v>
      </c>
      <c r="C203" s="127">
        <f t="shared" si="85"/>
        <v>145.31919574468085</v>
      </c>
    </row>
    <row r="204" spans="1:3">
      <c r="A204" s="127">
        <f t="shared" si="83"/>
        <v>20</v>
      </c>
      <c r="B204" s="127">
        <f t="shared" si="84"/>
        <v>377.46080000000001</v>
      </c>
      <c r="C204" s="127">
        <f t="shared" si="85"/>
        <v>152.59053617021274</v>
      </c>
    </row>
    <row r="205" spans="1:3">
      <c r="A205" s="127">
        <f t="shared" si="83"/>
        <v>22.5</v>
      </c>
      <c r="B205" s="127">
        <f t="shared" si="84"/>
        <v>394.04379999999998</v>
      </c>
      <c r="C205" s="127">
        <f t="shared" si="85"/>
        <v>159.29430212765956</v>
      </c>
    </row>
    <row r="206" spans="1:3">
      <c r="A206" s="127">
        <f t="shared" si="83"/>
        <v>25</v>
      </c>
      <c r="B206" s="127">
        <f t="shared" si="84"/>
        <v>409.42700000000002</v>
      </c>
      <c r="C206" s="127">
        <f t="shared" si="85"/>
        <v>165.5130425531915</v>
      </c>
    </row>
    <row r="207" spans="1:3">
      <c r="A207" s="127">
        <f t="shared" si="83"/>
        <v>27.5</v>
      </c>
      <c r="B207" s="127">
        <f t="shared" si="84"/>
        <v>426.1968</v>
      </c>
      <c r="C207" s="127">
        <f t="shared" si="85"/>
        <v>172.29232340425531</v>
      </c>
    </row>
    <row r="208" spans="1:3">
      <c r="A208" s="127">
        <f t="shared" si="83"/>
        <v>30</v>
      </c>
      <c r="B208" s="127">
        <f t="shared" si="84"/>
        <v>443.40040000000005</v>
      </c>
      <c r="C208" s="127">
        <f t="shared" si="85"/>
        <v>179.246970212766</v>
      </c>
    </row>
    <row r="209" spans="1:17">
      <c r="A209" s="127">
        <f t="shared" si="83"/>
        <v>32.5</v>
      </c>
      <c r="B209" s="127">
        <f t="shared" si="84"/>
        <v>460.79640000000001</v>
      </c>
      <c r="C209" s="127">
        <f t="shared" si="85"/>
        <v>186.27939574468087</v>
      </c>
    </row>
    <row r="210" spans="1:17">
      <c r="A210" s="127">
        <f t="shared" si="83"/>
        <v>35</v>
      </c>
      <c r="B210" s="127">
        <f t="shared" si="84"/>
        <v>454.92920000000004</v>
      </c>
      <c r="C210" s="127">
        <f t="shared" si="85"/>
        <v>183.90754893617023</v>
      </c>
    </row>
    <row r="211" spans="1:17">
      <c r="A211" s="127">
        <f t="shared" si="83"/>
        <v>37.5</v>
      </c>
      <c r="B211" s="127">
        <f t="shared" si="84"/>
        <v>465.5224</v>
      </c>
      <c r="C211" s="127">
        <f t="shared" si="85"/>
        <v>188.18990638297871</v>
      </c>
    </row>
    <row r="212" spans="1:17">
      <c r="A212" s="127">
        <f t="shared" si="83"/>
        <v>40</v>
      </c>
      <c r="B212" s="127">
        <f t="shared" si="84"/>
        <v>453.08440000000002</v>
      </c>
      <c r="C212" s="127">
        <f t="shared" si="85"/>
        <v>183.16177872340427</v>
      </c>
    </row>
    <row r="213" spans="1:17">
      <c r="A213" s="127">
        <f t="shared" si="83"/>
        <v>42.5</v>
      </c>
      <c r="B213" s="127">
        <f t="shared" si="84"/>
        <v>461.14659999999998</v>
      </c>
      <c r="C213" s="127">
        <f t="shared" si="85"/>
        <v>186.42096595744678</v>
      </c>
    </row>
    <row r="214" spans="1:17">
      <c r="A214" s="127">
        <f t="shared" si="83"/>
        <v>45</v>
      </c>
      <c r="B214" s="127">
        <f t="shared" si="84"/>
        <v>468.78959999999995</v>
      </c>
      <c r="C214" s="127">
        <f t="shared" si="85"/>
        <v>189.51068936170211</v>
      </c>
    </row>
    <row r="215" spans="1:17">
      <c r="A215" s="127">
        <f t="shared" si="83"/>
        <v>47.5</v>
      </c>
      <c r="B215" s="127">
        <f t="shared" si="84"/>
        <v>411.63600000000002</v>
      </c>
      <c r="C215" s="127">
        <f t="shared" si="85"/>
        <v>166.40604255319153</v>
      </c>
    </row>
    <row r="216" spans="1:17">
      <c r="A216" s="127">
        <f t="shared" si="83"/>
        <v>50</v>
      </c>
      <c r="B216" s="127">
        <f t="shared" si="84"/>
        <v>208.39632</v>
      </c>
      <c r="C216" s="127">
        <f t="shared" si="85"/>
        <v>84.245320851063823</v>
      </c>
    </row>
    <row r="217" spans="1:17">
      <c r="A217" s="127">
        <f t="shared" si="83"/>
        <v>52.5</v>
      </c>
      <c r="B217" s="127">
        <f t="shared" si="84"/>
        <v>51.486984000000007</v>
      </c>
      <c r="C217" s="127">
        <f t="shared" si="85"/>
        <v>20.813887148936171</v>
      </c>
    </row>
    <row r="218" spans="1:17">
      <c r="A218" s="127">
        <f>B131</f>
        <v>55</v>
      </c>
      <c r="B218" s="127">
        <f t="shared" si="84"/>
        <v>0</v>
      </c>
      <c r="C218" s="127">
        <f t="shared" si="85"/>
        <v>0</v>
      </c>
    </row>
    <row r="221" spans="1:17" ht="18.75">
      <c r="A221" s="216" t="s">
        <v>52</v>
      </c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  <c r="N221" s="216"/>
      <c r="O221" s="216"/>
      <c r="P221" s="216"/>
      <c r="Q221" s="216"/>
    </row>
    <row r="222" spans="1:17">
      <c r="A222" t="s">
        <v>55</v>
      </c>
      <c r="G222" s="206" t="s">
        <v>61</v>
      </c>
      <c r="H222" s="206"/>
      <c r="I222" s="206"/>
      <c r="J222" s="206"/>
      <c r="K222" s="208" t="s">
        <v>63</v>
      </c>
      <c r="L222" s="208"/>
      <c r="M222" s="208"/>
      <c r="N222" s="208"/>
      <c r="O222" s="208"/>
    </row>
    <row r="223" spans="1:17">
      <c r="A223" t="s">
        <v>57</v>
      </c>
      <c r="B223" t="s">
        <v>56</v>
      </c>
      <c r="C223" t="s">
        <v>59</v>
      </c>
      <c r="D223" t="s">
        <v>58</v>
      </c>
      <c r="E223" t="s">
        <v>60</v>
      </c>
      <c r="F223" t="s">
        <v>53</v>
      </c>
      <c r="G223" s="120" t="s">
        <v>60</v>
      </c>
      <c r="H223" s="120" t="s">
        <v>62</v>
      </c>
      <c r="I223" s="120" t="s">
        <v>13</v>
      </c>
      <c r="J223" s="120" t="s">
        <v>12</v>
      </c>
      <c r="K223" s="121" t="s">
        <v>60</v>
      </c>
      <c r="L223" s="121" t="s">
        <v>62</v>
      </c>
      <c r="M223" s="121" t="s">
        <v>59</v>
      </c>
      <c r="N223" s="121" t="s">
        <v>13</v>
      </c>
      <c r="O223" s="76" t="s">
        <v>5</v>
      </c>
    </row>
    <row r="224" spans="1:17">
      <c r="A224">
        <v>0</v>
      </c>
      <c r="B224">
        <v>0</v>
      </c>
      <c r="C224">
        <f>A224*0.00769</f>
        <v>0</v>
      </c>
      <c r="D224">
        <f>B224*9.615</f>
        <v>0</v>
      </c>
      <c r="E224">
        <f>(((0.178*D224*9.8)/(1*0.96*957))+0.098)/0.293</f>
        <v>0.33447098976109219</v>
      </c>
      <c r="F224">
        <f>((E224*10^6)^(1-0.36)*0.647*0.96*957)/(1700*(3.38*(10^(-3)/98066.5^0.36))*(0.95*338.917*2878)^0.5)</f>
        <v>23110.258869806003</v>
      </c>
      <c r="G224" s="120">
        <f>((2.49*(10^(-3)/98066.5^0.24)*1683*F224*(0.95*338.917*2584)^0.5)/(957*0.647*0.96))^(1/(1-0.24))</f>
        <v>169459.75365751129</v>
      </c>
      <c r="H224" s="120">
        <f>1/9.8*(1*0.95*G224*10^(-6)*957*((0.293-(0.098/G224))/0.178))</f>
        <v>25.877528702908634</v>
      </c>
      <c r="I224" s="120">
        <f>2.49*(G224/98066.5)^0.24</f>
        <v>2.8392939820042375</v>
      </c>
      <c r="J224" s="120">
        <v>0</v>
      </c>
      <c r="K224" s="121">
        <f t="shared" ref="K224:K255" si="86">((3.69*(10^(-3)/98066.5^0.19)*1683*F224*(0.95*338.917*2661)^0.5)/(957*0.647*0.96))^(1/(1-0.19))</f>
        <v>271126.91260364116</v>
      </c>
      <c r="L224" s="121">
        <f>1/9.8*(1*0.95*K224*10^(-6)*957*((0.293-(0.098/K224))/0.178))</f>
        <v>41.40274905596474</v>
      </c>
      <c r="M224" s="121">
        <f t="shared" ref="M224:M255" si="87">C224</f>
        <v>0</v>
      </c>
      <c r="N224" s="121">
        <f>3.69*(K224/98066.5)^0.19</f>
        <v>4.4765169911259415</v>
      </c>
      <c r="O224" s="76">
        <v>0</v>
      </c>
    </row>
    <row r="225" spans="1:15">
      <c r="A225">
        <v>2.16</v>
      </c>
      <c r="B225">
        <v>11.81</v>
      </c>
      <c r="C225">
        <f>A225*0.00769</f>
        <v>1.6610400000000001E-2</v>
      </c>
      <c r="D225">
        <f>B225*9.615</f>
        <v>113.55315</v>
      </c>
      <c r="E225">
        <f t="shared" ref="E225:E255" si="88">(((0.178*D225*9.8)/(1*0.96*957))+0.098)/0.293</f>
        <v>1.0703297645603977</v>
      </c>
      <c r="F225">
        <f t="shared" ref="F225:F255" si="89">((E225*10^6)^(1-0.19)*0.647*0.96*957)/(1683*(3.69*(10^(-3)/98066.5^0.19))*(0.95*338.917*2661)^0.5)</f>
        <v>70282.020662173236</v>
      </c>
      <c r="G225" s="120">
        <f t="shared" ref="G225:G255" si="90">((2.49*(10^(-3)/98066.5^0.24)*1683*F225*(0.95*338.917*2584)^0.5)/(957*0.647*0.96))^(1/(1-0.24))</f>
        <v>732225.36105343897</v>
      </c>
      <c r="H225" s="120">
        <f t="shared" ref="H225:H255" si="91">1/9.8*(1*0.95*G225*10^(-6)*957*((0.293-(0.098/G225))/0.178))</f>
        <v>111.81540827494153</v>
      </c>
      <c r="I225" s="120">
        <f t="shared" ref="I225:I255" si="92">2.49*(G225/98066.5)^0.24</f>
        <v>4.0341229380226737</v>
      </c>
      <c r="J225" s="120">
        <f>J224+O225/I225</f>
        <v>2.3926366135429002E-2</v>
      </c>
      <c r="K225" s="121">
        <f t="shared" si="86"/>
        <v>1070329.7645603984</v>
      </c>
      <c r="L225" s="121">
        <f t="shared" ref="L225:L255" si="93">1/9.8*(1*0.95*K225*10^(-6)*957*((0.293-(0.098/K225))/0.178))</f>
        <v>163.4460963082866</v>
      </c>
      <c r="M225" s="121">
        <f t="shared" si="87"/>
        <v>1.6610400000000001E-2</v>
      </c>
      <c r="N225" s="121">
        <f t="shared" ref="N225:N255" si="94">3.69*(K225/98066.5)^0.19</f>
        <v>5.8109318529633871</v>
      </c>
      <c r="O225" s="76">
        <f>(M225-M224)*N225</f>
        <v>9.6521902450463049E-2</v>
      </c>
    </row>
    <row r="226" spans="1:15">
      <c r="A226">
        <v>8.4600000000000009</v>
      </c>
      <c r="B226">
        <v>65.25</v>
      </c>
      <c r="C226">
        <f t="shared" ref="C226:C255" si="95">A226*0.00769</f>
        <v>6.5057400000000001E-2</v>
      </c>
      <c r="D226">
        <f t="shared" ref="D226:D255" si="96">B226*9.615</f>
        <v>627.37874999999997</v>
      </c>
      <c r="E226">
        <f t="shared" si="88"/>
        <v>4.4000751434998451</v>
      </c>
      <c r="F226">
        <f t="shared" si="89"/>
        <v>220870.47066647327</v>
      </c>
      <c r="G226" s="120">
        <f t="shared" si="90"/>
        <v>3303529.6625725031</v>
      </c>
      <c r="H226" s="120">
        <f t="shared" si="91"/>
        <v>504.46989266942364</v>
      </c>
      <c r="I226" s="120">
        <f t="shared" si="92"/>
        <v>5.7914745940667842</v>
      </c>
      <c r="J226" s="120">
        <f t="shared" ref="J226:J255" si="97">J225+O226/I226</f>
        <v>8.7513988922539046E-2</v>
      </c>
      <c r="K226" s="121">
        <f t="shared" si="86"/>
        <v>4400075.1434998438</v>
      </c>
      <c r="L226" s="121">
        <f t="shared" si="93"/>
        <v>671.91934630828621</v>
      </c>
      <c r="M226" s="121">
        <f t="shared" si="87"/>
        <v>6.5057400000000001E-2</v>
      </c>
      <c r="N226" s="121">
        <f t="shared" si="94"/>
        <v>7.6014222112545644</v>
      </c>
      <c r="O226" s="76">
        <f t="shared" ref="O226:O255" si="98">(M226-M225)*N226</f>
        <v>0.36826610186864989</v>
      </c>
    </row>
    <row r="227" spans="1:15">
      <c r="A227">
        <v>9.81</v>
      </c>
      <c r="B227">
        <v>107.66</v>
      </c>
      <c r="C227">
        <f t="shared" si="95"/>
        <v>7.5438900000000003E-2</v>
      </c>
      <c r="D227">
        <f t="shared" si="96"/>
        <v>1035.1509000000001</v>
      </c>
      <c r="E227">
        <f t="shared" si="88"/>
        <v>7.0425620731559455</v>
      </c>
      <c r="F227">
        <f t="shared" si="89"/>
        <v>323293.39708765445</v>
      </c>
      <c r="G227" s="120">
        <f t="shared" si="90"/>
        <v>5453654.9332554443</v>
      </c>
      <c r="H227" s="120">
        <f t="shared" si="91"/>
        <v>832.8076662440219</v>
      </c>
      <c r="I227" s="120">
        <f t="shared" si="92"/>
        <v>6.5318984207203279</v>
      </c>
      <c r="J227" s="120">
        <f t="shared" si="97"/>
        <v>0.10072472309327046</v>
      </c>
      <c r="K227" s="121">
        <f t="shared" si="86"/>
        <v>7042562.0731559452</v>
      </c>
      <c r="L227" s="121">
        <f t="shared" si="93"/>
        <v>1075.4438697457865</v>
      </c>
      <c r="M227" s="121">
        <f t="shared" si="87"/>
        <v>7.5438900000000003E-2</v>
      </c>
      <c r="N227" s="121">
        <f t="shared" si="94"/>
        <v>8.3120140313400324</v>
      </c>
      <c r="O227" s="76">
        <f t="shared" si="98"/>
        <v>8.6291173666356566E-2</v>
      </c>
    </row>
    <row r="228" spans="1:15">
      <c r="A228">
        <v>26</v>
      </c>
      <c r="B228">
        <v>109.47</v>
      </c>
      <c r="C228">
        <f t="shared" si="95"/>
        <v>0.19994000000000001</v>
      </c>
      <c r="D228">
        <f t="shared" si="96"/>
        <v>1052.55405</v>
      </c>
      <c r="E228">
        <f t="shared" si="88"/>
        <v>7.1553397515968209</v>
      </c>
      <c r="F228">
        <f t="shared" si="89"/>
        <v>327480.53523499658</v>
      </c>
      <c r="G228" s="120">
        <f t="shared" si="90"/>
        <v>5546782.6873215567</v>
      </c>
      <c r="H228" s="120">
        <f t="shared" si="91"/>
        <v>847.02886528065198</v>
      </c>
      <c r="I228" s="120">
        <f t="shared" si="92"/>
        <v>6.558496049498987</v>
      </c>
      <c r="J228" s="120">
        <f t="shared" si="97"/>
        <v>0.25899017218615472</v>
      </c>
      <c r="K228" s="121">
        <f t="shared" si="86"/>
        <v>7155339.7515968261</v>
      </c>
      <c r="L228" s="121">
        <f t="shared" si="93"/>
        <v>1092.6657369332872</v>
      </c>
      <c r="M228" s="121">
        <f t="shared" si="87"/>
        <v>0.19994000000000001</v>
      </c>
      <c r="N228" s="121">
        <f t="shared" si="94"/>
        <v>8.3371417814610815</v>
      </c>
      <c r="O228" s="76">
        <f t="shared" si="98"/>
        <v>1.0379833226478643</v>
      </c>
    </row>
    <row r="229" spans="1:15">
      <c r="A229">
        <v>38.380000000000003</v>
      </c>
      <c r="B229">
        <v>111.34</v>
      </c>
      <c r="C229">
        <f t="shared" si="95"/>
        <v>0.29514220000000002</v>
      </c>
      <c r="D229">
        <f t="shared" si="96"/>
        <v>1070.5341000000001</v>
      </c>
      <c r="E229">
        <f t="shared" si="88"/>
        <v>7.2718559166158476</v>
      </c>
      <c r="F229">
        <f t="shared" si="89"/>
        <v>331793.32594503934</v>
      </c>
      <c r="G229" s="120">
        <f t="shared" si="90"/>
        <v>5643099.0112016341</v>
      </c>
      <c r="H229" s="120">
        <f t="shared" si="91"/>
        <v>861.73697916260687</v>
      </c>
      <c r="I229" s="120">
        <f t="shared" si="92"/>
        <v>6.5856496934377269</v>
      </c>
      <c r="J229" s="120">
        <f t="shared" si="97"/>
        <v>0.37988240444991705</v>
      </c>
      <c r="K229" s="121">
        <f t="shared" si="86"/>
        <v>7271855.9166158522</v>
      </c>
      <c r="L229" s="121">
        <f t="shared" si="93"/>
        <v>1110.4584947457872</v>
      </c>
      <c r="M229" s="121">
        <f t="shared" si="87"/>
        <v>0.29514220000000002</v>
      </c>
      <c r="N229" s="121">
        <f t="shared" si="94"/>
        <v>8.3627677968245369</v>
      </c>
      <c r="O229" s="76">
        <f t="shared" si="98"/>
        <v>0.79615389234684908</v>
      </c>
    </row>
    <row r="230" spans="1:15">
      <c r="A230">
        <v>52</v>
      </c>
      <c r="B230">
        <v>113.81</v>
      </c>
      <c r="C230">
        <f t="shared" si="95"/>
        <v>0.39988000000000001</v>
      </c>
      <c r="D230">
        <f t="shared" si="96"/>
        <v>1094.28315</v>
      </c>
      <c r="E230">
        <f t="shared" si="88"/>
        <v>7.4257569474163789</v>
      </c>
      <c r="F230">
        <f t="shared" si="89"/>
        <v>337469.84538527252</v>
      </c>
      <c r="G230" s="120">
        <f t="shared" si="90"/>
        <v>5770474.4320365135</v>
      </c>
      <c r="H230" s="120">
        <f t="shared" si="91"/>
        <v>881.18801425125923</v>
      </c>
      <c r="I230" s="120">
        <f t="shared" si="92"/>
        <v>6.6210238154557413</v>
      </c>
      <c r="J230" s="120">
        <f t="shared" si="97"/>
        <v>0.5127002630499583</v>
      </c>
      <c r="K230" s="121">
        <f t="shared" si="86"/>
        <v>7425756.94741638</v>
      </c>
      <c r="L230" s="121">
        <f t="shared" si="93"/>
        <v>1133.9601588082865</v>
      </c>
      <c r="M230" s="121">
        <f t="shared" si="87"/>
        <v>0.39988000000000001</v>
      </c>
      <c r="N230" s="121">
        <f t="shared" si="94"/>
        <v>8.3961110975092712</v>
      </c>
      <c r="O230" s="76">
        <f t="shared" si="98"/>
        <v>0.87939020490870645</v>
      </c>
    </row>
    <row r="231" spans="1:15">
      <c r="A231">
        <v>65.239999999999995</v>
      </c>
      <c r="B231">
        <v>116.71</v>
      </c>
      <c r="C231">
        <f t="shared" si="95"/>
        <v>0.50169559999999991</v>
      </c>
      <c r="D231">
        <f t="shared" si="96"/>
        <v>1122.1666499999999</v>
      </c>
      <c r="E231">
        <f t="shared" si="88"/>
        <v>7.6064504653603233</v>
      </c>
      <c r="F231">
        <f t="shared" si="89"/>
        <v>344106.15000647749</v>
      </c>
      <c r="G231" s="120">
        <f t="shared" si="90"/>
        <v>5920246.1034614975</v>
      </c>
      <c r="H231" s="120">
        <f t="shared" si="91"/>
        <v>904.05909893210946</v>
      </c>
      <c r="I231" s="120">
        <f t="shared" si="92"/>
        <v>6.6618665319121293</v>
      </c>
      <c r="J231" s="120">
        <f t="shared" si="97"/>
        <v>0.64160842709136179</v>
      </c>
      <c r="K231" s="121">
        <f t="shared" si="86"/>
        <v>7606450.4653603202</v>
      </c>
      <c r="L231" s="121">
        <f t="shared" si="93"/>
        <v>1161.553205683286</v>
      </c>
      <c r="M231" s="121">
        <f t="shared" si="87"/>
        <v>0.50169559999999991</v>
      </c>
      <c r="N231" s="121">
        <f t="shared" si="94"/>
        <v>8.4345521090841249</v>
      </c>
      <c r="O231" s="76">
        <f t="shared" si="98"/>
        <v>0.85876898371766475</v>
      </c>
    </row>
    <row r="232" spans="1:15">
      <c r="A232">
        <v>78</v>
      </c>
      <c r="B232">
        <v>120.75</v>
      </c>
      <c r="C232">
        <f t="shared" si="95"/>
        <v>0.59982000000000002</v>
      </c>
      <c r="D232">
        <f t="shared" si="96"/>
        <v>1161.01125</v>
      </c>
      <c r="E232">
        <f t="shared" si="88"/>
        <v>7.8581752282891291</v>
      </c>
      <c r="F232">
        <f t="shared" si="89"/>
        <v>353301.56825644081</v>
      </c>
      <c r="G232" s="120">
        <f t="shared" si="90"/>
        <v>6129282.9349319376</v>
      </c>
      <c r="H232" s="120">
        <f t="shared" si="91"/>
        <v>935.98034964988381</v>
      </c>
      <c r="I232" s="120">
        <f t="shared" si="92"/>
        <v>6.7175778102666941</v>
      </c>
      <c r="J232" s="120">
        <f t="shared" si="97"/>
        <v>0.76557736232192775</v>
      </c>
      <c r="K232" s="121">
        <f t="shared" si="86"/>
        <v>7858175.2282891273</v>
      </c>
      <c r="L232" s="121">
        <f t="shared" si="93"/>
        <v>1199.9931744332862</v>
      </c>
      <c r="M232" s="121">
        <f t="shared" si="87"/>
        <v>0.59982000000000002</v>
      </c>
      <c r="N232" s="121">
        <f t="shared" si="94"/>
        <v>8.4868897895654722</v>
      </c>
      <c r="O232" s="76">
        <f t="shared" si="98"/>
        <v>0.83277096846723919</v>
      </c>
    </row>
    <row r="233" spans="1:15">
      <c r="A233">
        <v>87.05</v>
      </c>
      <c r="B233">
        <v>124.8</v>
      </c>
      <c r="C233">
        <f t="shared" si="95"/>
        <v>0.66941449999999991</v>
      </c>
      <c r="D233">
        <f t="shared" si="96"/>
        <v>1199.952</v>
      </c>
      <c r="E233">
        <f t="shared" si="88"/>
        <v>8.110523072314292</v>
      </c>
      <c r="F233">
        <f t="shared" si="89"/>
        <v>362463.73469741578</v>
      </c>
      <c r="G233" s="120">
        <f t="shared" si="90"/>
        <v>6339279.8882102333</v>
      </c>
      <c r="H233" s="120">
        <f t="shared" si="91"/>
        <v>968.0482170606715</v>
      </c>
      <c r="I233" s="120">
        <f t="shared" si="92"/>
        <v>6.7721094329845508</v>
      </c>
      <c r="J233" s="120">
        <f t="shared" si="97"/>
        <v>0.85331939142124302</v>
      </c>
      <c r="K233" s="121">
        <f t="shared" si="86"/>
        <v>8110523.0723143034</v>
      </c>
      <c r="L233" s="121">
        <f t="shared" si="93"/>
        <v>1238.5282916207877</v>
      </c>
      <c r="M233" s="121">
        <f t="shared" si="87"/>
        <v>0.66941449999999991</v>
      </c>
      <c r="N233" s="121">
        <f t="shared" si="94"/>
        <v>8.538011235552796</v>
      </c>
      <c r="O233" s="76">
        <f t="shared" si="98"/>
        <v>0.59419862293267811</v>
      </c>
    </row>
    <row r="234" spans="1:15">
      <c r="A234">
        <v>104</v>
      </c>
      <c r="B234">
        <v>134.80000000000001</v>
      </c>
      <c r="C234">
        <f t="shared" si="95"/>
        <v>0.79976000000000003</v>
      </c>
      <c r="D234">
        <f t="shared" si="96"/>
        <v>1296.1020000000001</v>
      </c>
      <c r="E234">
        <f t="shared" si="88"/>
        <v>8.7336041686727235</v>
      </c>
      <c r="F234">
        <f t="shared" si="89"/>
        <v>384859.06441516714</v>
      </c>
      <c r="G234" s="120">
        <f t="shared" si="90"/>
        <v>6859608.7617784385</v>
      </c>
      <c r="H234" s="120">
        <f t="shared" si="91"/>
        <v>1047.5057380727835</v>
      </c>
      <c r="I234" s="120">
        <f t="shared" si="92"/>
        <v>6.9015434750962923</v>
      </c>
      <c r="J234" s="120">
        <f t="shared" si="97"/>
        <v>1.0168556350438123</v>
      </c>
      <c r="K234" s="121">
        <f t="shared" si="86"/>
        <v>8733604.1686727218</v>
      </c>
      <c r="L234" s="121">
        <f t="shared" si="93"/>
        <v>1333.6767291207861</v>
      </c>
      <c r="M234" s="121">
        <f t="shared" si="87"/>
        <v>0.79976000000000003</v>
      </c>
      <c r="N234" s="121">
        <f t="shared" si="94"/>
        <v>8.6589294997916966</v>
      </c>
      <c r="O234" s="76">
        <f t="shared" si="98"/>
        <v>1.1286524951150996</v>
      </c>
    </row>
    <row r="235" spans="1:15">
      <c r="A235">
        <v>118.33</v>
      </c>
      <c r="B235">
        <v>145.6</v>
      </c>
      <c r="C235">
        <f t="shared" si="95"/>
        <v>0.90995769999999998</v>
      </c>
      <c r="D235">
        <f t="shared" si="96"/>
        <v>1399.944</v>
      </c>
      <c r="E235">
        <f t="shared" si="88"/>
        <v>9.4065317527398271</v>
      </c>
      <c r="F235">
        <f t="shared" si="89"/>
        <v>408707.77258754335</v>
      </c>
      <c r="G235" s="120">
        <f t="shared" si="90"/>
        <v>7424311.0442386316</v>
      </c>
      <c r="H235" s="120">
        <f t="shared" si="91"/>
        <v>1133.7393602173115</v>
      </c>
      <c r="I235" s="120">
        <f t="shared" si="92"/>
        <v>7.0338299241692246</v>
      </c>
      <c r="J235" s="120">
        <f t="shared" si="97"/>
        <v>1.1544401999927765</v>
      </c>
      <c r="K235" s="121">
        <f t="shared" si="86"/>
        <v>9406531.752739815</v>
      </c>
      <c r="L235" s="121">
        <f t="shared" si="93"/>
        <v>1436.4370416207846</v>
      </c>
      <c r="M235" s="121">
        <f t="shared" si="87"/>
        <v>0.90995769999999998</v>
      </c>
      <c r="N235" s="121">
        <f t="shared" si="94"/>
        <v>8.7819113288374382</v>
      </c>
      <c r="O235" s="76">
        <f t="shared" si="98"/>
        <v>0.96774643004182892</v>
      </c>
    </row>
    <row r="236" spans="1:15">
      <c r="A236">
        <v>130</v>
      </c>
      <c r="B236">
        <v>156.69999999999999</v>
      </c>
      <c r="C236">
        <f t="shared" si="95"/>
        <v>0.99969999999999992</v>
      </c>
      <c r="D236">
        <f t="shared" si="96"/>
        <v>1506.6704999999999</v>
      </c>
      <c r="E236">
        <f t="shared" si="88"/>
        <v>10.098151769697685</v>
      </c>
      <c r="F236">
        <f t="shared" si="89"/>
        <v>432883.38290599582</v>
      </c>
      <c r="G236" s="120">
        <f t="shared" si="90"/>
        <v>8007476.1859232048</v>
      </c>
      <c r="H236" s="120">
        <f t="shared" si="91"/>
        <v>1222.7923781311051</v>
      </c>
      <c r="I236" s="120">
        <f t="shared" si="92"/>
        <v>7.162643605581219</v>
      </c>
      <c r="J236" s="120">
        <f t="shared" si="97"/>
        <v>1.2659639209468232</v>
      </c>
      <c r="K236" s="121">
        <f t="shared" si="86"/>
        <v>10098151.769697692</v>
      </c>
      <c r="L236" s="121">
        <f t="shared" si="93"/>
        <v>1542.0518072457876</v>
      </c>
      <c r="M236" s="121">
        <f t="shared" si="87"/>
        <v>0.99969999999999992</v>
      </c>
      <c r="N236" s="121">
        <f t="shared" si="94"/>
        <v>8.9010942082176125</v>
      </c>
      <c r="O236" s="76">
        <f t="shared" si="98"/>
        <v>0.79880466676212691</v>
      </c>
    </row>
    <row r="237" spans="1:15">
      <c r="A237">
        <v>139.517</v>
      </c>
      <c r="B237">
        <v>166.4</v>
      </c>
      <c r="C237">
        <f t="shared" si="95"/>
        <v>1.0728857299999999</v>
      </c>
      <c r="D237">
        <f t="shared" si="96"/>
        <v>1599.9360000000001</v>
      </c>
      <c r="E237">
        <f t="shared" si="88"/>
        <v>10.702540433165362</v>
      </c>
      <c r="F237">
        <f t="shared" si="89"/>
        <v>453752.83512597735</v>
      </c>
      <c r="G237" s="120">
        <f t="shared" si="90"/>
        <v>8519252.5622600336</v>
      </c>
      <c r="H237" s="120">
        <f t="shared" si="91"/>
        <v>1300.9438785416537</v>
      </c>
      <c r="I237" s="120">
        <f t="shared" si="92"/>
        <v>7.2699386079249475</v>
      </c>
      <c r="J237" s="120">
        <f t="shared" si="97"/>
        <v>1.3565654673126828</v>
      </c>
      <c r="K237" s="121">
        <f t="shared" si="86"/>
        <v>10702540.433165368</v>
      </c>
      <c r="L237" s="121">
        <f t="shared" si="93"/>
        <v>1634.3457916207874</v>
      </c>
      <c r="M237" s="121">
        <f t="shared" si="87"/>
        <v>1.0728857299999999</v>
      </c>
      <c r="N237" s="121">
        <f t="shared" si="94"/>
        <v>8.9999468456878891</v>
      </c>
      <c r="O237" s="76">
        <f t="shared" si="98"/>
        <v>0.65866767986286501</v>
      </c>
    </row>
    <row r="238" spans="1:15">
      <c r="A238">
        <v>156</v>
      </c>
      <c r="B238">
        <v>183.05</v>
      </c>
      <c r="C238">
        <f t="shared" si="95"/>
        <v>1.19964</v>
      </c>
      <c r="D238">
        <f t="shared" si="96"/>
        <v>1760.0257500000002</v>
      </c>
      <c r="E238">
        <f t="shared" si="88"/>
        <v>11.739970458602148</v>
      </c>
      <c r="F238">
        <f t="shared" si="89"/>
        <v>489063.50313219632</v>
      </c>
      <c r="G238" s="120">
        <f t="shared" si="90"/>
        <v>9402103.9794635382</v>
      </c>
      <c r="H238" s="120">
        <f t="shared" si="91"/>
        <v>1435.7608925427521</v>
      </c>
      <c r="I238" s="120">
        <f t="shared" si="92"/>
        <v>7.44403483724611</v>
      </c>
      <c r="J238" s="120">
        <f t="shared" si="97"/>
        <v>1.5125309056353331</v>
      </c>
      <c r="K238" s="121">
        <f t="shared" si="86"/>
        <v>11739970.458602145</v>
      </c>
      <c r="L238" s="121">
        <f t="shared" si="93"/>
        <v>1792.7679400582863</v>
      </c>
      <c r="M238" s="121">
        <f t="shared" si="87"/>
        <v>1.19964</v>
      </c>
      <c r="N238" s="121">
        <f t="shared" si="94"/>
        <v>9.1595506508787974</v>
      </c>
      <c r="O238" s="76">
        <f t="shared" si="98"/>
        <v>1.1610121562801683</v>
      </c>
    </row>
    <row r="239" spans="1:15">
      <c r="A239">
        <v>160.29</v>
      </c>
      <c r="B239">
        <v>187.2</v>
      </c>
      <c r="C239">
        <f t="shared" si="95"/>
        <v>1.2326301</v>
      </c>
      <c r="D239">
        <f t="shared" si="96"/>
        <v>1799.9279999999999</v>
      </c>
      <c r="E239">
        <f t="shared" si="88"/>
        <v>11.998549113590895</v>
      </c>
      <c r="F239">
        <f t="shared" si="89"/>
        <v>497770.61497899191</v>
      </c>
      <c r="G239" s="120">
        <f t="shared" si="90"/>
        <v>9622972.8716267813</v>
      </c>
      <c r="H239" s="120">
        <f t="shared" si="91"/>
        <v>1469.4889740148299</v>
      </c>
      <c r="I239" s="120">
        <f t="shared" si="92"/>
        <v>7.4856343215518315</v>
      </c>
      <c r="J239" s="120">
        <f t="shared" si="97"/>
        <v>1.5530656017457949</v>
      </c>
      <c r="K239" s="121">
        <f t="shared" si="86"/>
        <v>11998549.113590894</v>
      </c>
      <c r="L239" s="121">
        <f t="shared" si="93"/>
        <v>1832.2545416207865</v>
      </c>
      <c r="M239" s="121">
        <f t="shared" si="87"/>
        <v>1.2326301</v>
      </c>
      <c r="N239" s="121">
        <f t="shared" si="94"/>
        <v>9.1975444881387798</v>
      </c>
      <c r="O239" s="76">
        <f t="shared" si="98"/>
        <v>0.30342791241814632</v>
      </c>
    </row>
    <row r="240" spans="1:15">
      <c r="A240">
        <v>182</v>
      </c>
      <c r="B240">
        <v>208</v>
      </c>
      <c r="C240">
        <f t="shared" si="95"/>
        <v>1.39958</v>
      </c>
      <c r="D240">
        <f t="shared" si="96"/>
        <v>1999.92</v>
      </c>
      <c r="E240">
        <f t="shared" si="88"/>
        <v>13.294557794016427</v>
      </c>
      <c r="F240">
        <f t="shared" si="89"/>
        <v>540892.34742837923</v>
      </c>
      <c r="G240" s="120">
        <f t="shared" si="90"/>
        <v>10734579.261365598</v>
      </c>
      <c r="H240" s="120">
        <f t="shared" si="91"/>
        <v>1639.2383240060569</v>
      </c>
      <c r="I240" s="120">
        <f t="shared" si="92"/>
        <v>7.6846269839435291</v>
      </c>
      <c r="J240" s="120">
        <f t="shared" si="97"/>
        <v>1.7568161799727615</v>
      </c>
      <c r="K240" s="121">
        <f t="shared" si="86"/>
        <v>13294557.794016445</v>
      </c>
      <c r="L240" s="121">
        <f t="shared" si="93"/>
        <v>2030.1632916207891</v>
      </c>
      <c r="M240" s="121">
        <f t="shared" si="87"/>
        <v>1.39958</v>
      </c>
      <c r="N240" s="121">
        <f t="shared" si="94"/>
        <v>9.3785452488264056</v>
      </c>
      <c r="O240" s="76">
        <f t="shared" si="98"/>
        <v>1.5657471914370444</v>
      </c>
    </row>
    <row r="241" spans="1:41">
      <c r="A241">
        <v>199.05</v>
      </c>
      <c r="B241">
        <v>228.8</v>
      </c>
      <c r="C241">
        <f t="shared" si="95"/>
        <v>1.5306945000000001</v>
      </c>
      <c r="D241">
        <f t="shared" si="96"/>
        <v>2199.9120000000003</v>
      </c>
      <c r="E241">
        <f t="shared" si="88"/>
        <v>14.590566474441962</v>
      </c>
      <c r="F241">
        <f t="shared" si="89"/>
        <v>583221.36558733333</v>
      </c>
      <c r="G241" s="120">
        <f t="shared" si="90"/>
        <v>11853348.803641001</v>
      </c>
      <c r="H241" s="120">
        <f t="shared" si="91"/>
        <v>1810.081532847141</v>
      </c>
      <c r="I241" s="120">
        <f t="shared" si="92"/>
        <v>7.8696649081873353</v>
      </c>
      <c r="J241" s="120">
        <f t="shared" si="97"/>
        <v>1.9158559099507433</v>
      </c>
      <c r="K241" s="121">
        <f t="shared" si="86"/>
        <v>14590566.474441977</v>
      </c>
      <c r="L241" s="121">
        <f t="shared" si="93"/>
        <v>2228.0720416207887</v>
      </c>
      <c r="M241" s="121">
        <f t="shared" si="87"/>
        <v>1.5306945000000001</v>
      </c>
      <c r="N241" s="121">
        <f t="shared" si="94"/>
        <v>9.5457739762979053</v>
      </c>
      <c r="O241" s="76">
        <f t="shared" si="98"/>
        <v>1.2515893820153119</v>
      </c>
    </row>
    <row r="242" spans="1:41">
      <c r="A242">
        <v>208</v>
      </c>
      <c r="B242">
        <v>241.18</v>
      </c>
      <c r="C242">
        <f t="shared" si="95"/>
        <v>1.5995200000000001</v>
      </c>
      <c r="D242">
        <f t="shared" si="96"/>
        <v>2318.9457000000002</v>
      </c>
      <c r="E242">
        <f t="shared" si="88"/>
        <v>15.361940871733701</v>
      </c>
      <c r="F242">
        <f t="shared" si="89"/>
        <v>608073.83059173462</v>
      </c>
      <c r="G242" s="120">
        <f t="shared" si="90"/>
        <v>12522382.619117307</v>
      </c>
      <c r="H242" s="120">
        <f t="shared" si="91"/>
        <v>1912.2472421733869</v>
      </c>
      <c r="I242" s="120">
        <f t="shared" si="92"/>
        <v>7.9740555654601017</v>
      </c>
      <c r="J242" s="120">
        <f t="shared" si="97"/>
        <v>1.9990576314519111</v>
      </c>
      <c r="K242" s="121">
        <f t="shared" si="86"/>
        <v>15361940.871733712</v>
      </c>
      <c r="L242" s="121">
        <f t="shared" si="93"/>
        <v>2345.8658072457888</v>
      </c>
      <c r="M242" s="121">
        <f t="shared" si="87"/>
        <v>1.5995200000000001</v>
      </c>
      <c r="N242" s="121">
        <f t="shared" si="94"/>
        <v>9.6396706219678467</v>
      </c>
      <c r="O242" s="76">
        <f t="shared" si="98"/>
        <v>0.66345515039224789</v>
      </c>
    </row>
    <row r="243" spans="1:41">
      <c r="A243">
        <v>220.084</v>
      </c>
      <c r="B243">
        <v>258.88</v>
      </c>
      <c r="C243">
        <f t="shared" si="95"/>
        <v>1.6924459599999999</v>
      </c>
      <c r="D243">
        <f t="shared" si="96"/>
        <v>2489.1311999999998</v>
      </c>
      <c r="E243">
        <f t="shared" si="88"/>
        <v>16.464794412288118</v>
      </c>
      <c r="F243">
        <f t="shared" si="89"/>
        <v>643199.3457340952</v>
      </c>
      <c r="G243" s="120">
        <f t="shared" si="90"/>
        <v>13482739.023765486</v>
      </c>
      <c r="H243" s="120">
        <f t="shared" si="91"/>
        <v>2058.8997596056074</v>
      </c>
      <c r="I243" s="120">
        <f t="shared" si="92"/>
        <v>8.1167306761079647</v>
      </c>
      <c r="J243" s="120">
        <f t="shared" si="97"/>
        <v>2.1108826703190222</v>
      </c>
      <c r="K243" s="121">
        <f t="shared" si="86"/>
        <v>16464794.412288101</v>
      </c>
      <c r="L243" s="121">
        <f t="shared" si="93"/>
        <v>2514.2785416207839</v>
      </c>
      <c r="M243" s="121">
        <f t="shared" si="87"/>
        <v>1.6924459599999999</v>
      </c>
      <c r="N243" s="121">
        <f t="shared" si="94"/>
        <v>9.7674936404170243</v>
      </c>
      <c r="O243" s="76">
        <f t="shared" si="98"/>
        <v>0.90765372332964545</v>
      </c>
    </row>
    <row r="244" spans="1:41">
      <c r="A244">
        <v>234</v>
      </c>
      <c r="B244">
        <v>281.24</v>
      </c>
      <c r="C244">
        <f t="shared" si="95"/>
        <v>1.7994600000000001</v>
      </c>
      <c r="D244">
        <f t="shared" si="96"/>
        <v>2704.1226000000001</v>
      </c>
      <c r="E244">
        <f t="shared" si="88"/>
        <v>17.858003743745567</v>
      </c>
      <c r="F244">
        <f t="shared" si="89"/>
        <v>686941.31620220502</v>
      </c>
      <c r="G244" s="120">
        <f t="shared" si="90"/>
        <v>14701970.752502244</v>
      </c>
      <c r="H244" s="120">
        <f t="shared" si="91"/>
        <v>2245.0841818545409</v>
      </c>
      <c r="I244" s="120">
        <f t="shared" si="92"/>
        <v>8.2871369908320105</v>
      </c>
      <c r="J244" s="120">
        <f t="shared" si="97"/>
        <v>2.2389746484366739</v>
      </c>
      <c r="K244" s="121">
        <f t="shared" si="86"/>
        <v>17858003.743745565</v>
      </c>
      <c r="L244" s="121">
        <f t="shared" si="93"/>
        <v>2727.0304478707858</v>
      </c>
      <c r="M244" s="121">
        <f t="shared" si="87"/>
        <v>1.7994600000000001</v>
      </c>
      <c r="N244" s="121">
        <f t="shared" si="94"/>
        <v>9.9194065571922678</v>
      </c>
      <c r="O244" s="76">
        <f t="shared" si="98"/>
        <v>1.061515770087637</v>
      </c>
    </row>
    <row r="245" spans="1:41">
      <c r="A245">
        <v>245.65</v>
      </c>
      <c r="B245">
        <v>302.87</v>
      </c>
      <c r="C245">
        <f t="shared" si="95"/>
        <v>1.8890484999999999</v>
      </c>
      <c r="D245">
        <f t="shared" si="96"/>
        <v>2912.0950499999999</v>
      </c>
      <c r="E245">
        <f t="shared" si="88"/>
        <v>19.205728155168849</v>
      </c>
      <c r="F245">
        <f t="shared" si="89"/>
        <v>728641.51301575429</v>
      </c>
      <c r="G245" s="120">
        <f t="shared" si="90"/>
        <v>15887378.024349527</v>
      </c>
      <c r="H245" s="120">
        <f t="shared" si="91"/>
        <v>2426.1033948857194</v>
      </c>
      <c r="I245" s="120">
        <f t="shared" si="92"/>
        <v>8.4428081359969607</v>
      </c>
      <c r="J245" s="120">
        <f t="shared" si="97"/>
        <v>2.3456968143679866</v>
      </c>
      <c r="K245" s="121">
        <f t="shared" si="86"/>
        <v>19205728.155168835</v>
      </c>
      <c r="L245" s="121">
        <f t="shared" si="93"/>
        <v>2932.8365181832837</v>
      </c>
      <c r="M245" s="121">
        <f t="shared" si="87"/>
        <v>1.8890484999999999</v>
      </c>
      <c r="N245" s="121">
        <f t="shared" si="94"/>
        <v>10.057482498491497</v>
      </c>
      <c r="O245" s="76">
        <f t="shared" si="98"/>
        <v>0.90103477081610395</v>
      </c>
    </row>
    <row r="246" spans="1:41">
      <c r="A246">
        <v>260</v>
      </c>
      <c r="B246">
        <v>337.36</v>
      </c>
      <c r="C246">
        <f t="shared" si="95"/>
        <v>1.9993999999999998</v>
      </c>
      <c r="D246">
        <f t="shared" si="96"/>
        <v>3243.7164000000002</v>
      </c>
      <c r="E246">
        <f t="shared" si="88"/>
        <v>21.354734856509079</v>
      </c>
      <c r="F246">
        <f t="shared" si="89"/>
        <v>794008.7158324864</v>
      </c>
      <c r="G246" s="120">
        <f t="shared" si="90"/>
        <v>17788778.302566674</v>
      </c>
      <c r="H246" s="120">
        <f t="shared" si="91"/>
        <v>2716.4592836966276</v>
      </c>
      <c r="I246" s="120">
        <f t="shared" si="92"/>
        <v>8.6749994192797306</v>
      </c>
      <c r="J246" s="120">
        <f t="shared" si="97"/>
        <v>2.4762387713928877</v>
      </c>
      <c r="K246" s="121">
        <f t="shared" si="86"/>
        <v>21354734.856509056</v>
      </c>
      <c r="L246" s="121">
        <f t="shared" si="93"/>
        <v>3261.0034791207836</v>
      </c>
      <c r="M246" s="121">
        <f t="shared" si="87"/>
        <v>1.9993999999999998</v>
      </c>
      <c r="N246" s="121">
        <f t="shared" si="94"/>
        <v>10.262220281397708</v>
      </c>
      <c r="O246" s="76">
        <f t="shared" si="98"/>
        <v>1.1324514013826585</v>
      </c>
    </row>
    <row r="247" spans="1:41">
      <c r="A247">
        <v>273.40199999999999</v>
      </c>
      <c r="B247">
        <v>410.71</v>
      </c>
      <c r="C247">
        <f t="shared" si="95"/>
        <v>2.1024613799999998</v>
      </c>
      <c r="D247">
        <f t="shared" si="96"/>
        <v>3948.9766500000001</v>
      </c>
      <c r="E247">
        <f t="shared" si="88"/>
        <v>25.925034698298155</v>
      </c>
      <c r="F247">
        <f t="shared" si="89"/>
        <v>929068.32022005774</v>
      </c>
      <c r="G247" s="120">
        <f t="shared" si="90"/>
        <v>21873204.561522938</v>
      </c>
      <c r="H247" s="120">
        <f t="shared" si="91"/>
        <v>3340.1770932963268</v>
      </c>
      <c r="I247" s="120">
        <f t="shared" si="92"/>
        <v>9.1161899216252014</v>
      </c>
      <c r="J247" s="120">
        <f t="shared" si="97"/>
        <v>2.5966111112251151</v>
      </c>
      <c r="K247" s="121">
        <f t="shared" si="86"/>
        <v>25925034.698298186</v>
      </c>
      <c r="L247" s="121">
        <f t="shared" si="93"/>
        <v>3958.9172681832915</v>
      </c>
      <c r="M247" s="121">
        <f t="shared" si="87"/>
        <v>2.1024613799999998</v>
      </c>
      <c r="N247" s="121">
        <f t="shared" si="94"/>
        <v>10.647413330007772</v>
      </c>
      <c r="O247" s="76">
        <f t="shared" si="98"/>
        <v>1.0973371112209962</v>
      </c>
    </row>
    <row r="248" spans="1:41">
      <c r="A248">
        <v>323.96100000000001</v>
      </c>
      <c r="B248">
        <v>426.46</v>
      </c>
      <c r="C248">
        <f t="shared" si="95"/>
        <v>2.4912600899999999</v>
      </c>
      <c r="D248">
        <f t="shared" si="96"/>
        <v>4100.4129000000003</v>
      </c>
      <c r="E248">
        <f t="shared" si="88"/>
        <v>26.906387425062682</v>
      </c>
      <c r="F248">
        <f t="shared" si="89"/>
        <v>957453.8459869856</v>
      </c>
      <c r="G248" s="120">
        <f t="shared" si="90"/>
        <v>22756739.675644465</v>
      </c>
      <c r="H248" s="120">
        <f t="shared" si="91"/>
        <v>3475.0985121555623</v>
      </c>
      <c r="I248" s="120">
        <f t="shared" si="92"/>
        <v>9.2032410023242033</v>
      </c>
      <c r="J248" s="120">
        <f t="shared" si="97"/>
        <v>3.0496067100447872</v>
      </c>
      <c r="K248" s="121">
        <f t="shared" si="86"/>
        <v>26906387.425062645</v>
      </c>
      <c r="L248" s="121">
        <f t="shared" si="93"/>
        <v>4108.776057245781</v>
      </c>
      <c r="M248" s="121">
        <f t="shared" si="87"/>
        <v>2.4912600899999999</v>
      </c>
      <c r="N248" s="121">
        <f t="shared" si="94"/>
        <v>10.722843367792064</v>
      </c>
      <c r="O248" s="76">
        <f t="shared" si="98"/>
        <v>4.1690276689296111</v>
      </c>
    </row>
    <row r="249" spans="1:41" ht="15.75" thickBot="1">
      <c r="A249">
        <v>372.88600000000002</v>
      </c>
      <c r="B249">
        <v>440.97</v>
      </c>
      <c r="C249">
        <f t="shared" si="95"/>
        <v>2.8674933400000002</v>
      </c>
      <c r="D249">
        <f t="shared" si="96"/>
        <v>4239.9265500000001</v>
      </c>
      <c r="E249">
        <f t="shared" si="88"/>
        <v>27.810478095878768</v>
      </c>
      <c r="F249">
        <f t="shared" si="89"/>
        <v>983430.85382092767</v>
      </c>
      <c r="G249" s="120">
        <f t="shared" si="90"/>
        <v>23572594.509392083</v>
      </c>
      <c r="H249" s="120">
        <f t="shared" si="91"/>
        <v>3599.6847227011845</v>
      </c>
      <c r="I249" s="120">
        <f t="shared" si="92"/>
        <v>9.2813715264509913</v>
      </c>
      <c r="J249" s="120">
        <f t="shared" si="97"/>
        <v>3.4870100156947594</v>
      </c>
      <c r="K249" s="121">
        <f t="shared" si="86"/>
        <v>27810478.095878735</v>
      </c>
      <c r="L249" s="121">
        <f t="shared" si="93"/>
        <v>4246.8364400582823</v>
      </c>
      <c r="M249" s="121">
        <f t="shared" si="87"/>
        <v>2.8674933400000002</v>
      </c>
      <c r="N249" s="121">
        <f t="shared" si="94"/>
        <v>10.790387576417523</v>
      </c>
      <c r="O249" s="76">
        <f t="shared" si="98"/>
        <v>4.0597025866351908</v>
      </c>
    </row>
    <row r="250" spans="1:41" ht="15.75" thickBot="1">
      <c r="A250">
        <v>390</v>
      </c>
      <c r="B250">
        <v>445.05</v>
      </c>
      <c r="C250">
        <f t="shared" si="95"/>
        <v>2.9990999999999999</v>
      </c>
      <c r="D250">
        <f t="shared" si="96"/>
        <v>4279.1557499999999</v>
      </c>
      <c r="E250">
        <f t="shared" si="88"/>
        <v>28.064695183193002</v>
      </c>
      <c r="F250">
        <f t="shared" si="89"/>
        <v>990706.12504542083</v>
      </c>
      <c r="G250" s="120">
        <f t="shared" si="90"/>
        <v>23802317.941055674</v>
      </c>
      <c r="H250" s="120">
        <f t="shared" si="91"/>
        <v>3634.7649485460638</v>
      </c>
      <c r="I250" s="120">
        <f t="shared" si="92"/>
        <v>9.3029996676240252</v>
      </c>
      <c r="J250" s="120">
        <f t="shared" si="97"/>
        <v>3.6399224360151772</v>
      </c>
      <c r="K250" s="121">
        <f t="shared" si="86"/>
        <v>28064695.183192957</v>
      </c>
      <c r="L250" s="121">
        <f t="shared" si="93"/>
        <v>4285.6570025582787</v>
      </c>
      <c r="M250" s="121">
        <f t="shared" si="87"/>
        <v>2.9990999999999999</v>
      </c>
      <c r="N250" s="121">
        <f t="shared" si="94"/>
        <v>10.80905932432624</v>
      </c>
      <c r="O250" s="76">
        <f t="shared" si="98"/>
        <v>1.4225441954164295</v>
      </c>
      <c r="AC250" s="140" t="s">
        <v>76</v>
      </c>
      <c r="AD250" s="141"/>
      <c r="AE250" s="141"/>
      <c r="AF250" s="141"/>
      <c r="AG250" s="141"/>
      <c r="AH250" s="141"/>
      <c r="AI250" s="142"/>
      <c r="AJ250" s="209" t="s">
        <v>74</v>
      </c>
      <c r="AK250" s="210"/>
      <c r="AL250" s="210"/>
      <c r="AM250" s="210"/>
      <c r="AN250" s="210"/>
      <c r="AO250" s="211"/>
    </row>
    <row r="251" spans="1:41" ht="15.75" thickBot="1">
      <c r="A251">
        <v>405.13</v>
      </c>
      <c r="B251">
        <v>448.01</v>
      </c>
      <c r="C251">
        <f t="shared" si="95"/>
        <v>3.1154497000000001</v>
      </c>
      <c r="D251">
        <f t="shared" si="96"/>
        <v>4307.6161499999998</v>
      </c>
      <c r="E251">
        <f t="shared" si="88"/>
        <v>28.249127187715096</v>
      </c>
      <c r="F251">
        <f t="shared" si="89"/>
        <v>995976.42471398436</v>
      </c>
      <c r="G251" s="120">
        <f t="shared" si="90"/>
        <v>23969065.819401726</v>
      </c>
      <c r="H251" s="120">
        <f t="shared" si="91"/>
        <v>3660.2284077551353</v>
      </c>
      <c r="I251" s="120">
        <f t="shared" si="92"/>
        <v>9.3185995877801258</v>
      </c>
      <c r="J251" s="120">
        <f t="shared" si="97"/>
        <v>3.7750497086539401</v>
      </c>
      <c r="K251" s="121">
        <f t="shared" si="86"/>
        <v>28249127.187715065</v>
      </c>
      <c r="L251" s="121">
        <f t="shared" si="93"/>
        <v>4313.8209400582809</v>
      </c>
      <c r="M251" s="121">
        <f t="shared" si="87"/>
        <v>3.1154497000000001</v>
      </c>
      <c r="N251" s="121">
        <f t="shared" si="94"/>
        <v>10.822519930085146</v>
      </c>
      <c r="O251" s="76">
        <f t="shared" si="98"/>
        <v>1.2591969471094302</v>
      </c>
      <c r="AB251" s="143"/>
      <c r="AC251" s="209" t="str">
        <f>A222</f>
        <v>Для T=+50</v>
      </c>
      <c r="AD251" s="210"/>
      <c r="AE251" s="210"/>
      <c r="AF251" s="211"/>
      <c r="AG251" s="209" t="str">
        <f t="shared" ref="AG251:AK251" si="99">G222</f>
        <v>Для -40</v>
      </c>
      <c r="AH251" s="210"/>
      <c r="AI251" s="210"/>
      <c r="AJ251" s="211"/>
      <c r="AK251" s="209" t="str">
        <f t="shared" si="99"/>
        <v>Для +50</v>
      </c>
      <c r="AL251" s="210"/>
      <c r="AM251" s="210"/>
      <c r="AN251" s="211"/>
      <c r="AO251" s="218" t="str">
        <f>O223</f>
        <v>свод</v>
      </c>
    </row>
    <row r="252" spans="1:41" ht="15.75" thickBot="1">
      <c r="A252">
        <v>430.78899999999999</v>
      </c>
      <c r="B252">
        <v>179.65</v>
      </c>
      <c r="C252">
        <f t="shared" si="95"/>
        <v>3.3127674099999997</v>
      </c>
      <c r="D252">
        <f t="shared" si="96"/>
        <v>1727.33475</v>
      </c>
      <c r="E252">
        <f t="shared" si="88"/>
        <v>11.528122885840281</v>
      </c>
      <c r="F252">
        <f t="shared" si="89"/>
        <v>481902.79459942284</v>
      </c>
      <c r="G252" s="120">
        <f t="shared" si="90"/>
        <v>9221389.2153033465</v>
      </c>
      <c r="H252" s="120">
        <f t="shared" si="91"/>
        <v>1408.1646012357028</v>
      </c>
      <c r="I252" s="120">
        <f t="shared" si="92"/>
        <v>7.4094421177276901</v>
      </c>
      <c r="J252" s="120">
        <f t="shared" si="97"/>
        <v>4.0181313320841356</v>
      </c>
      <c r="K252" s="121">
        <f t="shared" si="86"/>
        <v>11528122.885840271</v>
      </c>
      <c r="L252" s="121">
        <f t="shared" si="93"/>
        <v>1760.417471308285</v>
      </c>
      <c r="M252" s="121">
        <f t="shared" si="87"/>
        <v>3.3127674099999997</v>
      </c>
      <c r="N252" s="121">
        <f t="shared" si="94"/>
        <v>9.1279146645748011</v>
      </c>
      <c r="O252" s="76">
        <f t="shared" si="98"/>
        <v>1.8010992186893147</v>
      </c>
      <c r="AA252" s="8"/>
      <c r="AB252" s="8"/>
      <c r="AC252" s="136" t="str">
        <f t="shared" ref="AC252:AC281" si="100">C223</f>
        <v>t работы с</v>
      </c>
      <c r="AD252" s="136" t="str">
        <f t="shared" ref="AD252:AD281" si="101">D223</f>
        <v>R кгс</v>
      </c>
      <c r="AE252" s="136" t="str">
        <f t="shared" ref="AE252:AE281" si="102">E223</f>
        <v>pk</v>
      </c>
      <c r="AF252" s="136" t="s">
        <v>77</v>
      </c>
      <c r="AG252" s="136" t="str">
        <f t="shared" ref="AG252:AG281" si="103">G223</f>
        <v>pk</v>
      </c>
      <c r="AH252" s="136" t="str">
        <f t="shared" ref="AH252:AH281" si="104">H223</f>
        <v>тяга в кгс</v>
      </c>
      <c r="AI252" s="136" t="str">
        <f t="shared" ref="AI252:AI281" si="105">I223</f>
        <v>Скорость горения</v>
      </c>
      <c r="AJ252" s="136" t="str">
        <f t="shared" ref="AJ252:AJ281" si="106">J223</f>
        <v>Время работы</v>
      </c>
      <c r="AK252" s="136" t="str">
        <f t="shared" ref="AK252:AK281" si="107">K223</f>
        <v>pk</v>
      </c>
      <c r="AL252" s="136" t="str">
        <f t="shared" ref="AL252:AL281" si="108">L223</f>
        <v>тяга в кгс</v>
      </c>
      <c r="AM252" s="136" t="str">
        <f t="shared" ref="AM252:AM281" si="109">M223</f>
        <v>t работы с</v>
      </c>
      <c r="AN252" s="136" t="str">
        <f t="shared" ref="AN252:AN281" si="110">N223</f>
        <v>Скорость горения</v>
      </c>
      <c r="AO252" s="225"/>
    </row>
    <row r="253" spans="1:41">
      <c r="A253">
        <v>452.17</v>
      </c>
      <c r="B253">
        <v>28.47</v>
      </c>
      <c r="C253">
        <f t="shared" si="95"/>
        <v>3.4771873000000002</v>
      </c>
      <c r="D253">
        <f t="shared" si="96"/>
        <v>273.73905000000002</v>
      </c>
      <c r="E253">
        <f t="shared" si="88"/>
        <v>2.1083828710935411</v>
      </c>
      <c r="F253">
        <f t="shared" si="89"/>
        <v>121712.18506070077</v>
      </c>
      <c r="G253" s="120">
        <f t="shared" si="90"/>
        <v>1508159.1090253557</v>
      </c>
      <c r="H253" s="120">
        <f t="shared" si="91"/>
        <v>230.30541568254287</v>
      </c>
      <c r="I253" s="120">
        <f t="shared" si="92"/>
        <v>4.7980161307939548</v>
      </c>
      <c r="J253" s="120">
        <f t="shared" si="97"/>
        <v>4.2446377377308986</v>
      </c>
      <c r="K253" s="121">
        <f t="shared" si="86"/>
        <v>2108382.8710935395</v>
      </c>
      <c r="L253" s="121">
        <f t="shared" si="93"/>
        <v>321.96339318328626</v>
      </c>
      <c r="M253" s="121">
        <f t="shared" si="87"/>
        <v>3.4771873000000002</v>
      </c>
      <c r="N253" s="121">
        <f t="shared" si="94"/>
        <v>6.6097926961350364</v>
      </c>
      <c r="O253" s="76">
        <f t="shared" si="98"/>
        <v>1.0867813880213291</v>
      </c>
      <c r="AA253" s="8"/>
      <c r="AB253" s="8"/>
      <c r="AC253" s="63">
        <f t="shared" si="100"/>
        <v>0</v>
      </c>
      <c r="AD253" s="63">
        <f t="shared" si="101"/>
        <v>0</v>
      </c>
      <c r="AE253" s="63">
        <f t="shared" si="102"/>
        <v>0.33447098976109219</v>
      </c>
      <c r="AF253" s="60">
        <f t="shared" ref="AF253:AF281" si="111">F224</f>
        <v>23110.258869806003</v>
      </c>
      <c r="AG253" s="63">
        <f t="shared" si="103"/>
        <v>169459.75365751129</v>
      </c>
      <c r="AH253" s="63">
        <f t="shared" si="104"/>
        <v>25.877528702908634</v>
      </c>
      <c r="AI253" s="63">
        <f t="shared" si="105"/>
        <v>2.8392939820042375</v>
      </c>
      <c r="AJ253" s="63">
        <f t="shared" si="106"/>
        <v>0</v>
      </c>
      <c r="AK253" s="63">
        <f t="shared" si="107"/>
        <v>271126.91260364116</v>
      </c>
      <c r="AL253" s="63">
        <f t="shared" si="108"/>
        <v>41.40274905596474</v>
      </c>
      <c r="AM253" s="63">
        <f t="shared" si="109"/>
        <v>0</v>
      </c>
      <c r="AN253" s="63">
        <f t="shared" si="110"/>
        <v>4.4765169911259415</v>
      </c>
      <c r="AO253" s="63">
        <f t="shared" ref="AO253:AO281" si="112">O224</f>
        <v>0</v>
      </c>
    </row>
    <row r="254" spans="1:41">
      <c r="A254">
        <v>476.54</v>
      </c>
      <c r="B254">
        <v>2.34</v>
      </c>
      <c r="C254">
        <f t="shared" si="95"/>
        <v>3.6645926000000002</v>
      </c>
      <c r="D254">
        <f t="shared" si="96"/>
        <v>22.499099999999999</v>
      </c>
      <c r="E254">
        <f t="shared" si="88"/>
        <v>0.48027196630896468</v>
      </c>
      <c r="F254">
        <f t="shared" si="89"/>
        <v>36723.126049883409</v>
      </c>
      <c r="G254" s="120">
        <f t="shared" si="90"/>
        <v>311686.26654563961</v>
      </c>
      <c r="H254" s="120">
        <f t="shared" si="91"/>
        <v>47.596419793442266</v>
      </c>
      <c r="I254" s="120">
        <f t="shared" si="92"/>
        <v>3.2864469405127457</v>
      </c>
      <c r="J254" s="120">
        <f t="shared" si="97"/>
        <v>4.5291986581261057</v>
      </c>
      <c r="K254" s="121">
        <f t="shared" si="86"/>
        <v>480271.96630896465</v>
      </c>
      <c r="L254" s="121">
        <f t="shared" si="93"/>
        <v>73.340525995786507</v>
      </c>
      <c r="M254" s="121">
        <f t="shared" si="87"/>
        <v>3.6645926000000002</v>
      </c>
      <c r="N254" s="121">
        <f t="shared" si="94"/>
        <v>4.9902236821601074</v>
      </c>
      <c r="O254" s="76">
        <f t="shared" si="98"/>
        <v>0.93519436622231955</v>
      </c>
      <c r="AA254" s="8"/>
      <c r="AB254" s="8"/>
      <c r="AC254" s="23">
        <f t="shared" si="100"/>
        <v>1.6610400000000001E-2</v>
      </c>
      <c r="AD254" s="23">
        <f t="shared" si="101"/>
        <v>113.55315</v>
      </c>
      <c r="AE254" s="23">
        <f t="shared" si="102"/>
        <v>1.0703297645603977</v>
      </c>
      <c r="AF254" s="60">
        <f t="shared" si="111"/>
        <v>70282.020662173236</v>
      </c>
      <c r="AG254" s="23">
        <f t="shared" si="103"/>
        <v>732225.36105343897</v>
      </c>
      <c r="AH254" s="23">
        <f t="shared" si="104"/>
        <v>111.81540827494153</v>
      </c>
      <c r="AI254" s="23">
        <f t="shared" si="105"/>
        <v>4.0341229380226737</v>
      </c>
      <c r="AJ254" s="23">
        <f t="shared" si="106"/>
        <v>2.3926366135429002E-2</v>
      </c>
      <c r="AK254" s="23">
        <f t="shared" si="107"/>
        <v>1070329.7645603984</v>
      </c>
      <c r="AL254" s="23">
        <f t="shared" si="108"/>
        <v>163.4460963082866</v>
      </c>
      <c r="AM254" s="23">
        <f t="shared" si="109"/>
        <v>1.6610400000000001E-2</v>
      </c>
      <c r="AN254" s="23">
        <f t="shared" si="110"/>
        <v>5.8109318529633871</v>
      </c>
      <c r="AO254" s="23">
        <f t="shared" si="112"/>
        <v>9.6521902450463049E-2</v>
      </c>
    </row>
    <row r="255" spans="1:41">
      <c r="A255">
        <v>520</v>
      </c>
      <c r="B255">
        <v>0</v>
      </c>
      <c r="C255">
        <f t="shared" si="95"/>
        <v>3.9987999999999997</v>
      </c>
      <c r="D255">
        <f t="shared" si="96"/>
        <v>0</v>
      </c>
      <c r="E255">
        <f t="shared" si="88"/>
        <v>0.33447098976109219</v>
      </c>
      <c r="F255">
        <f t="shared" si="89"/>
        <v>27394.623109645883</v>
      </c>
      <c r="G255" s="120">
        <f t="shared" si="90"/>
        <v>211958.80627479113</v>
      </c>
      <c r="H255" s="120">
        <f t="shared" si="91"/>
        <v>32.367403737471228</v>
      </c>
      <c r="I255" s="120">
        <f t="shared" si="92"/>
        <v>2.9959512105732213</v>
      </c>
      <c r="J255" s="120">
        <f t="shared" si="97"/>
        <v>5.0488916610169543</v>
      </c>
      <c r="K255" s="121">
        <f t="shared" si="86"/>
        <v>334470.98976109229</v>
      </c>
      <c r="L255" s="121">
        <f t="shared" si="93"/>
        <v>51.075791620786532</v>
      </c>
      <c r="M255" s="121">
        <f t="shared" si="87"/>
        <v>3.9987999999999997</v>
      </c>
      <c r="N255" s="121">
        <f t="shared" si="94"/>
        <v>4.6587085777791666</v>
      </c>
      <c r="O255" s="76">
        <f t="shared" si="98"/>
        <v>1.5569748811372706</v>
      </c>
      <c r="AA255" s="8"/>
      <c r="AB255" s="8"/>
      <c r="AC255" s="23">
        <f t="shared" si="100"/>
        <v>6.5057400000000001E-2</v>
      </c>
      <c r="AD255" s="23">
        <f t="shared" si="101"/>
        <v>627.37874999999997</v>
      </c>
      <c r="AE255" s="23">
        <f t="shared" si="102"/>
        <v>4.4000751434998451</v>
      </c>
      <c r="AF255" s="60">
        <f t="shared" si="111"/>
        <v>220870.47066647327</v>
      </c>
      <c r="AG255" s="23">
        <f t="shared" si="103"/>
        <v>3303529.6625725031</v>
      </c>
      <c r="AH255" s="23">
        <f t="shared" si="104"/>
        <v>504.46989266942364</v>
      </c>
      <c r="AI255" s="23">
        <f t="shared" si="105"/>
        <v>5.7914745940667842</v>
      </c>
      <c r="AJ255" s="23">
        <f t="shared" si="106"/>
        <v>8.7513988922539046E-2</v>
      </c>
      <c r="AK255" s="23">
        <f t="shared" si="107"/>
        <v>4400075.1434998438</v>
      </c>
      <c r="AL255" s="23">
        <f t="shared" si="108"/>
        <v>671.91934630828621</v>
      </c>
      <c r="AM255" s="23">
        <f t="shared" si="109"/>
        <v>6.5057400000000001E-2</v>
      </c>
      <c r="AN255" s="23">
        <f t="shared" si="110"/>
        <v>7.6014222112545644</v>
      </c>
      <c r="AO255" s="23">
        <f t="shared" si="112"/>
        <v>0.36826610186864989</v>
      </c>
    </row>
    <row r="256" spans="1:41">
      <c r="AA256" s="8"/>
      <c r="AB256" s="8"/>
      <c r="AC256" s="23">
        <f t="shared" si="100"/>
        <v>7.5438900000000003E-2</v>
      </c>
      <c r="AD256" s="23">
        <f t="shared" si="101"/>
        <v>1035.1509000000001</v>
      </c>
      <c r="AE256" s="23">
        <f t="shared" si="102"/>
        <v>7.0425620731559455</v>
      </c>
      <c r="AF256" s="60">
        <f t="shared" si="111"/>
        <v>323293.39708765445</v>
      </c>
      <c r="AG256" s="23">
        <f t="shared" si="103"/>
        <v>5453654.9332554443</v>
      </c>
      <c r="AH256" s="23">
        <f t="shared" si="104"/>
        <v>832.8076662440219</v>
      </c>
      <c r="AI256" s="23">
        <f t="shared" si="105"/>
        <v>6.5318984207203279</v>
      </c>
      <c r="AJ256" s="23">
        <f t="shared" si="106"/>
        <v>0.10072472309327046</v>
      </c>
      <c r="AK256" s="23">
        <f t="shared" si="107"/>
        <v>7042562.0731559452</v>
      </c>
      <c r="AL256" s="23">
        <f t="shared" si="108"/>
        <v>1075.4438697457865</v>
      </c>
      <c r="AM256" s="23">
        <f t="shared" si="109"/>
        <v>7.5438900000000003E-2</v>
      </c>
      <c r="AN256" s="23">
        <f t="shared" si="110"/>
        <v>8.3120140313400324</v>
      </c>
      <c r="AO256" s="23">
        <f t="shared" si="112"/>
        <v>8.6291173666356566E-2</v>
      </c>
    </row>
    <row r="257" spans="1:41">
      <c r="AA257" s="8"/>
      <c r="AB257" s="8"/>
      <c r="AC257" s="23">
        <f t="shared" si="100"/>
        <v>0.19994000000000001</v>
      </c>
      <c r="AD257" s="23">
        <f t="shared" si="101"/>
        <v>1052.55405</v>
      </c>
      <c r="AE257" s="23">
        <f t="shared" si="102"/>
        <v>7.1553397515968209</v>
      </c>
      <c r="AF257" s="60">
        <f t="shared" si="111"/>
        <v>327480.53523499658</v>
      </c>
      <c r="AG257" s="23">
        <f t="shared" si="103"/>
        <v>5546782.6873215567</v>
      </c>
      <c r="AH257" s="23">
        <f t="shared" si="104"/>
        <v>847.02886528065198</v>
      </c>
      <c r="AI257" s="23">
        <f t="shared" si="105"/>
        <v>6.558496049498987</v>
      </c>
      <c r="AJ257" s="23">
        <f t="shared" si="106"/>
        <v>0.25899017218615472</v>
      </c>
      <c r="AK257" s="23">
        <f t="shared" si="107"/>
        <v>7155339.7515968261</v>
      </c>
      <c r="AL257" s="23">
        <f t="shared" si="108"/>
        <v>1092.6657369332872</v>
      </c>
      <c r="AM257" s="23">
        <f t="shared" si="109"/>
        <v>0.19994000000000001</v>
      </c>
      <c r="AN257" s="23">
        <f t="shared" si="110"/>
        <v>8.3371417814610815</v>
      </c>
      <c r="AO257" s="23">
        <f t="shared" si="112"/>
        <v>1.0379833226478643</v>
      </c>
    </row>
    <row r="258" spans="1:41">
      <c r="AA258" s="8"/>
      <c r="AB258" s="8"/>
      <c r="AC258" s="23">
        <f t="shared" si="100"/>
        <v>0.29514220000000002</v>
      </c>
      <c r="AD258" s="23">
        <f t="shared" si="101"/>
        <v>1070.5341000000001</v>
      </c>
      <c r="AE258" s="23">
        <f t="shared" si="102"/>
        <v>7.2718559166158476</v>
      </c>
      <c r="AF258" s="60">
        <f t="shared" si="111"/>
        <v>331793.32594503934</v>
      </c>
      <c r="AG258" s="23">
        <f t="shared" si="103"/>
        <v>5643099.0112016341</v>
      </c>
      <c r="AH258" s="23">
        <f t="shared" si="104"/>
        <v>861.73697916260687</v>
      </c>
      <c r="AI258" s="23">
        <f t="shared" si="105"/>
        <v>6.5856496934377269</v>
      </c>
      <c r="AJ258" s="23">
        <f t="shared" si="106"/>
        <v>0.37988240444991705</v>
      </c>
      <c r="AK258" s="23">
        <f t="shared" si="107"/>
        <v>7271855.9166158522</v>
      </c>
      <c r="AL258" s="23">
        <f t="shared" si="108"/>
        <v>1110.4584947457872</v>
      </c>
      <c r="AM258" s="23">
        <f t="shared" si="109"/>
        <v>0.29514220000000002</v>
      </c>
      <c r="AN258" s="23">
        <f t="shared" si="110"/>
        <v>8.3627677968245369</v>
      </c>
      <c r="AO258" s="23">
        <f t="shared" si="112"/>
        <v>0.79615389234684908</v>
      </c>
    </row>
    <row r="259" spans="1:41">
      <c r="AA259" s="8"/>
      <c r="AB259" s="8"/>
      <c r="AC259" s="23">
        <f t="shared" si="100"/>
        <v>0.39988000000000001</v>
      </c>
      <c r="AD259" s="23">
        <f t="shared" si="101"/>
        <v>1094.28315</v>
      </c>
      <c r="AE259" s="23">
        <f t="shared" si="102"/>
        <v>7.4257569474163789</v>
      </c>
      <c r="AF259" s="60">
        <f t="shared" si="111"/>
        <v>337469.84538527252</v>
      </c>
      <c r="AG259" s="23">
        <f t="shared" si="103"/>
        <v>5770474.4320365135</v>
      </c>
      <c r="AH259" s="23">
        <f t="shared" si="104"/>
        <v>881.18801425125923</v>
      </c>
      <c r="AI259" s="23">
        <f t="shared" si="105"/>
        <v>6.6210238154557413</v>
      </c>
      <c r="AJ259" s="23">
        <f t="shared" si="106"/>
        <v>0.5127002630499583</v>
      </c>
      <c r="AK259" s="23">
        <f t="shared" si="107"/>
        <v>7425756.94741638</v>
      </c>
      <c r="AL259" s="23">
        <f t="shared" si="108"/>
        <v>1133.9601588082865</v>
      </c>
      <c r="AM259" s="23">
        <f t="shared" si="109"/>
        <v>0.39988000000000001</v>
      </c>
      <c r="AN259" s="23">
        <f t="shared" si="110"/>
        <v>8.3961110975092712</v>
      </c>
      <c r="AO259" s="23">
        <f t="shared" si="112"/>
        <v>0.87939020490870645</v>
      </c>
    </row>
    <row r="260" spans="1:41">
      <c r="AA260" s="8"/>
      <c r="AB260" s="8"/>
      <c r="AC260" s="23">
        <f t="shared" si="100"/>
        <v>0.50169559999999991</v>
      </c>
      <c r="AD260" s="23">
        <f t="shared" si="101"/>
        <v>1122.1666499999999</v>
      </c>
      <c r="AE260" s="23">
        <f t="shared" si="102"/>
        <v>7.6064504653603233</v>
      </c>
      <c r="AF260" s="60">
        <f t="shared" si="111"/>
        <v>344106.15000647749</v>
      </c>
      <c r="AG260" s="23">
        <f t="shared" si="103"/>
        <v>5920246.1034614975</v>
      </c>
      <c r="AH260" s="23">
        <f t="shared" si="104"/>
        <v>904.05909893210946</v>
      </c>
      <c r="AI260" s="23">
        <f t="shared" si="105"/>
        <v>6.6618665319121293</v>
      </c>
      <c r="AJ260" s="23">
        <f t="shared" si="106"/>
        <v>0.64160842709136179</v>
      </c>
      <c r="AK260" s="23">
        <f t="shared" si="107"/>
        <v>7606450.4653603202</v>
      </c>
      <c r="AL260" s="23">
        <f t="shared" si="108"/>
        <v>1161.553205683286</v>
      </c>
      <c r="AM260" s="23">
        <f t="shared" si="109"/>
        <v>0.50169559999999991</v>
      </c>
      <c r="AN260" s="23">
        <f t="shared" si="110"/>
        <v>8.4345521090841249</v>
      </c>
      <c r="AO260" s="23">
        <f t="shared" si="112"/>
        <v>0.85876898371766475</v>
      </c>
    </row>
    <row r="261" spans="1:41">
      <c r="AA261" s="8"/>
      <c r="AB261" s="8"/>
      <c r="AC261" s="23">
        <f t="shared" si="100"/>
        <v>0.59982000000000002</v>
      </c>
      <c r="AD261" s="23">
        <f t="shared" si="101"/>
        <v>1161.01125</v>
      </c>
      <c r="AE261" s="23">
        <f t="shared" si="102"/>
        <v>7.8581752282891291</v>
      </c>
      <c r="AF261" s="60">
        <f t="shared" si="111"/>
        <v>353301.56825644081</v>
      </c>
      <c r="AG261" s="23">
        <f t="shared" si="103"/>
        <v>6129282.9349319376</v>
      </c>
      <c r="AH261" s="23">
        <f t="shared" si="104"/>
        <v>935.98034964988381</v>
      </c>
      <c r="AI261" s="23">
        <f t="shared" si="105"/>
        <v>6.7175778102666941</v>
      </c>
      <c r="AJ261" s="23">
        <f t="shared" si="106"/>
        <v>0.76557736232192775</v>
      </c>
      <c r="AK261" s="23">
        <f t="shared" si="107"/>
        <v>7858175.2282891273</v>
      </c>
      <c r="AL261" s="23">
        <f t="shared" si="108"/>
        <v>1199.9931744332862</v>
      </c>
      <c r="AM261" s="23">
        <f t="shared" si="109"/>
        <v>0.59982000000000002</v>
      </c>
      <c r="AN261" s="23">
        <f t="shared" si="110"/>
        <v>8.4868897895654722</v>
      </c>
      <c r="AO261" s="23">
        <f t="shared" si="112"/>
        <v>0.83277096846723919</v>
      </c>
    </row>
    <row r="262" spans="1:41">
      <c r="AA262" s="8"/>
      <c r="AB262" s="8"/>
      <c r="AC262" s="23">
        <f t="shared" si="100"/>
        <v>0.66941449999999991</v>
      </c>
      <c r="AD262" s="23">
        <f t="shared" si="101"/>
        <v>1199.952</v>
      </c>
      <c r="AE262" s="23">
        <f t="shared" si="102"/>
        <v>8.110523072314292</v>
      </c>
      <c r="AF262" s="60">
        <f t="shared" si="111"/>
        <v>362463.73469741578</v>
      </c>
      <c r="AG262" s="23">
        <f t="shared" si="103"/>
        <v>6339279.8882102333</v>
      </c>
      <c r="AH262" s="23">
        <f t="shared" si="104"/>
        <v>968.0482170606715</v>
      </c>
      <c r="AI262" s="23">
        <f t="shared" si="105"/>
        <v>6.7721094329845508</v>
      </c>
      <c r="AJ262" s="23">
        <f t="shared" si="106"/>
        <v>0.85331939142124302</v>
      </c>
      <c r="AK262" s="23">
        <f t="shared" si="107"/>
        <v>8110523.0723143034</v>
      </c>
      <c r="AL262" s="23">
        <f t="shared" si="108"/>
        <v>1238.5282916207877</v>
      </c>
      <c r="AM262" s="23">
        <f t="shared" si="109"/>
        <v>0.66941449999999991</v>
      </c>
      <c r="AN262" s="23">
        <f t="shared" si="110"/>
        <v>8.538011235552796</v>
      </c>
      <c r="AO262" s="23">
        <f t="shared" si="112"/>
        <v>0.59419862293267811</v>
      </c>
    </row>
    <row r="263" spans="1:41">
      <c r="AA263" s="8"/>
      <c r="AB263" s="8"/>
      <c r="AC263" s="23">
        <f t="shared" si="100"/>
        <v>0.79976000000000003</v>
      </c>
      <c r="AD263" s="23">
        <f t="shared" si="101"/>
        <v>1296.1020000000001</v>
      </c>
      <c r="AE263" s="23">
        <f t="shared" si="102"/>
        <v>8.7336041686727235</v>
      </c>
      <c r="AF263" s="60">
        <f t="shared" si="111"/>
        <v>384859.06441516714</v>
      </c>
      <c r="AG263" s="23">
        <f t="shared" si="103"/>
        <v>6859608.7617784385</v>
      </c>
      <c r="AH263" s="23">
        <f t="shared" si="104"/>
        <v>1047.5057380727835</v>
      </c>
      <c r="AI263" s="23">
        <f t="shared" si="105"/>
        <v>6.9015434750962923</v>
      </c>
      <c r="AJ263" s="23">
        <f t="shared" si="106"/>
        <v>1.0168556350438123</v>
      </c>
      <c r="AK263" s="23">
        <f t="shared" si="107"/>
        <v>8733604.1686727218</v>
      </c>
      <c r="AL263" s="23">
        <f t="shared" si="108"/>
        <v>1333.6767291207861</v>
      </c>
      <c r="AM263" s="23">
        <f t="shared" si="109"/>
        <v>0.79976000000000003</v>
      </c>
      <c r="AN263" s="23">
        <f t="shared" si="110"/>
        <v>8.6589294997916966</v>
      </c>
      <c r="AO263" s="23">
        <f t="shared" si="112"/>
        <v>1.1286524951150996</v>
      </c>
    </row>
    <row r="264" spans="1:41">
      <c r="AA264" s="8"/>
      <c r="AB264" s="8"/>
      <c r="AC264" s="23">
        <f t="shared" si="100"/>
        <v>0.90995769999999998</v>
      </c>
      <c r="AD264" s="23">
        <f t="shared" si="101"/>
        <v>1399.944</v>
      </c>
      <c r="AE264" s="23">
        <f t="shared" si="102"/>
        <v>9.4065317527398271</v>
      </c>
      <c r="AF264" s="60">
        <f t="shared" si="111"/>
        <v>408707.77258754335</v>
      </c>
      <c r="AG264" s="23">
        <f t="shared" si="103"/>
        <v>7424311.0442386316</v>
      </c>
      <c r="AH264" s="23">
        <f t="shared" si="104"/>
        <v>1133.7393602173115</v>
      </c>
      <c r="AI264" s="23">
        <f t="shared" si="105"/>
        <v>7.0338299241692246</v>
      </c>
      <c r="AJ264" s="23">
        <f t="shared" si="106"/>
        <v>1.1544401999927765</v>
      </c>
      <c r="AK264" s="23">
        <f t="shared" si="107"/>
        <v>9406531.752739815</v>
      </c>
      <c r="AL264" s="23">
        <f t="shared" si="108"/>
        <v>1436.4370416207846</v>
      </c>
      <c r="AM264" s="23">
        <f t="shared" si="109"/>
        <v>0.90995769999999998</v>
      </c>
      <c r="AN264" s="23">
        <f t="shared" si="110"/>
        <v>8.7819113288374382</v>
      </c>
      <c r="AO264" s="23">
        <f t="shared" si="112"/>
        <v>0.96774643004182892</v>
      </c>
    </row>
    <row r="265" spans="1:41">
      <c r="AA265" s="8"/>
      <c r="AB265" s="8"/>
      <c r="AC265" s="23">
        <f t="shared" si="100"/>
        <v>0.99969999999999992</v>
      </c>
      <c r="AD265" s="23">
        <f t="shared" si="101"/>
        <v>1506.6704999999999</v>
      </c>
      <c r="AE265" s="23">
        <f t="shared" si="102"/>
        <v>10.098151769697685</v>
      </c>
      <c r="AF265" s="60">
        <f t="shared" si="111"/>
        <v>432883.38290599582</v>
      </c>
      <c r="AG265" s="23">
        <f t="shared" si="103"/>
        <v>8007476.1859232048</v>
      </c>
      <c r="AH265" s="23">
        <f t="shared" si="104"/>
        <v>1222.7923781311051</v>
      </c>
      <c r="AI265" s="23">
        <f t="shared" si="105"/>
        <v>7.162643605581219</v>
      </c>
      <c r="AJ265" s="23">
        <f t="shared" si="106"/>
        <v>1.2659639209468232</v>
      </c>
      <c r="AK265" s="23">
        <f t="shared" si="107"/>
        <v>10098151.769697692</v>
      </c>
      <c r="AL265" s="23">
        <f t="shared" si="108"/>
        <v>1542.0518072457876</v>
      </c>
      <c r="AM265" s="23">
        <f t="shared" si="109"/>
        <v>0.99969999999999992</v>
      </c>
      <c r="AN265" s="23">
        <f t="shared" si="110"/>
        <v>8.9010942082176125</v>
      </c>
      <c r="AO265" s="23">
        <f t="shared" si="112"/>
        <v>0.79880466676212691</v>
      </c>
    </row>
    <row r="266" spans="1:41">
      <c r="AA266" s="8"/>
      <c r="AB266" s="8"/>
      <c r="AC266" s="23">
        <f t="shared" si="100"/>
        <v>1.0728857299999999</v>
      </c>
      <c r="AD266" s="23">
        <f t="shared" si="101"/>
        <v>1599.9360000000001</v>
      </c>
      <c r="AE266" s="23">
        <f t="shared" si="102"/>
        <v>10.702540433165362</v>
      </c>
      <c r="AF266" s="60">
        <f t="shared" si="111"/>
        <v>453752.83512597735</v>
      </c>
      <c r="AG266" s="23">
        <f t="shared" si="103"/>
        <v>8519252.5622600336</v>
      </c>
      <c r="AH266" s="23">
        <f t="shared" si="104"/>
        <v>1300.9438785416537</v>
      </c>
      <c r="AI266" s="23">
        <f t="shared" si="105"/>
        <v>7.2699386079249475</v>
      </c>
      <c r="AJ266" s="23">
        <f t="shared" si="106"/>
        <v>1.3565654673126828</v>
      </c>
      <c r="AK266" s="23">
        <f t="shared" si="107"/>
        <v>10702540.433165368</v>
      </c>
      <c r="AL266" s="23">
        <f t="shared" si="108"/>
        <v>1634.3457916207874</v>
      </c>
      <c r="AM266" s="23">
        <f t="shared" si="109"/>
        <v>1.0728857299999999</v>
      </c>
      <c r="AN266" s="23">
        <f t="shared" si="110"/>
        <v>8.9999468456878891</v>
      </c>
      <c r="AO266" s="23">
        <f t="shared" si="112"/>
        <v>0.65866767986286501</v>
      </c>
    </row>
    <row r="267" spans="1:41">
      <c r="AA267" s="8"/>
      <c r="AB267" s="8"/>
      <c r="AC267" s="23">
        <f t="shared" si="100"/>
        <v>1.19964</v>
      </c>
      <c r="AD267" s="23">
        <f t="shared" si="101"/>
        <v>1760.0257500000002</v>
      </c>
      <c r="AE267" s="23">
        <f t="shared" si="102"/>
        <v>11.739970458602148</v>
      </c>
      <c r="AF267" s="60">
        <f t="shared" si="111"/>
        <v>489063.50313219632</v>
      </c>
      <c r="AG267" s="23">
        <f t="shared" si="103"/>
        <v>9402103.9794635382</v>
      </c>
      <c r="AH267" s="23">
        <f t="shared" si="104"/>
        <v>1435.7608925427521</v>
      </c>
      <c r="AI267" s="23">
        <f t="shared" si="105"/>
        <v>7.44403483724611</v>
      </c>
      <c r="AJ267" s="23">
        <f t="shared" si="106"/>
        <v>1.5125309056353331</v>
      </c>
      <c r="AK267" s="23">
        <f t="shared" si="107"/>
        <v>11739970.458602145</v>
      </c>
      <c r="AL267" s="23">
        <f t="shared" si="108"/>
        <v>1792.7679400582863</v>
      </c>
      <c r="AM267" s="23">
        <f t="shared" si="109"/>
        <v>1.19964</v>
      </c>
      <c r="AN267" s="23">
        <f t="shared" si="110"/>
        <v>9.1595506508787974</v>
      </c>
      <c r="AO267" s="23">
        <f t="shared" si="112"/>
        <v>1.1610121562801683</v>
      </c>
    </row>
    <row r="268" spans="1:41">
      <c r="AA268" s="8"/>
      <c r="AB268" s="8"/>
      <c r="AC268" s="23">
        <f t="shared" si="100"/>
        <v>1.2326301</v>
      </c>
      <c r="AD268" s="23">
        <f t="shared" si="101"/>
        <v>1799.9279999999999</v>
      </c>
      <c r="AE268" s="23">
        <f t="shared" si="102"/>
        <v>11.998549113590895</v>
      </c>
      <c r="AF268" s="60">
        <f t="shared" si="111"/>
        <v>497770.61497899191</v>
      </c>
      <c r="AG268" s="23">
        <f t="shared" si="103"/>
        <v>9622972.8716267813</v>
      </c>
      <c r="AH268" s="23">
        <f t="shared" si="104"/>
        <v>1469.4889740148299</v>
      </c>
      <c r="AI268" s="23">
        <f t="shared" si="105"/>
        <v>7.4856343215518315</v>
      </c>
      <c r="AJ268" s="23">
        <f t="shared" si="106"/>
        <v>1.5530656017457949</v>
      </c>
      <c r="AK268" s="23">
        <f t="shared" si="107"/>
        <v>11998549.113590894</v>
      </c>
      <c r="AL268" s="23">
        <f t="shared" si="108"/>
        <v>1832.2545416207865</v>
      </c>
      <c r="AM268" s="23">
        <f t="shared" si="109"/>
        <v>1.2326301</v>
      </c>
      <c r="AN268" s="23">
        <f t="shared" si="110"/>
        <v>9.1975444881387798</v>
      </c>
      <c r="AO268" s="23">
        <f t="shared" si="112"/>
        <v>0.30342791241814632</v>
      </c>
    </row>
    <row r="269" spans="1:41">
      <c r="AA269" s="8"/>
      <c r="AB269" s="8"/>
      <c r="AC269" s="23">
        <f t="shared" si="100"/>
        <v>1.39958</v>
      </c>
      <c r="AD269" s="23">
        <f t="shared" si="101"/>
        <v>1999.92</v>
      </c>
      <c r="AE269" s="23">
        <f t="shared" si="102"/>
        <v>13.294557794016427</v>
      </c>
      <c r="AF269" s="60">
        <f t="shared" si="111"/>
        <v>540892.34742837923</v>
      </c>
      <c r="AG269" s="23">
        <f t="shared" si="103"/>
        <v>10734579.261365598</v>
      </c>
      <c r="AH269" s="23">
        <f t="shared" si="104"/>
        <v>1639.2383240060569</v>
      </c>
      <c r="AI269" s="23">
        <f t="shared" si="105"/>
        <v>7.6846269839435291</v>
      </c>
      <c r="AJ269" s="23">
        <f t="shared" si="106"/>
        <v>1.7568161799727615</v>
      </c>
      <c r="AK269" s="23">
        <f t="shared" si="107"/>
        <v>13294557.794016445</v>
      </c>
      <c r="AL269" s="23">
        <f t="shared" si="108"/>
        <v>2030.1632916207891</v>
      </c>
      <c r="AM269" s="23">
        <f t="shared" si="109"/>
        <v>1.39958</v>
      </c>
      <c r="AN269" s="23">
        <f t="shared" si="110"/>
        <v>9.3785452488264056</v>
      </c>
      <c r="AO269" s="23">
        <f t="shared" si="112"/>
        <v>1.5657471914370444</v>
      </c>
    </row>
    <row r="270" spans="1:41">
      <c r="AA270" s="8"/>
      <c r="AB270" s="8"/>
      <c r="AC270" s="23">
        <f t="shared" si="100"/>
        <v>1.5306945000000001</v>
      </c>
      <c r="AD270" s="23">
        <f t="shared" si="101"/>
        <v>2199.9120000000003</v>
      </c>
      <c r="AE270" s="23">
        <f t="shared" si="102"/>
        <v>14.590566474441962</v>
      </c>
      <c r="AF270" s="60">
        <f t="shared" si="111"/>
        <v>583221.36558733333</v>
      </c>
      <c r="AG270" s="23">
        <f t="shared" si="103"/>
        <v>11853348.803641001</v>
      </c>
      <c r="AH270" s="23">
        <f t="shared" si="104"/>
        <v>1810.081532847141</v>
      </c>
      <c r="AI270" s="23">
        <f t="shared" si="105"/>
        <v>7.8696649081873353</v>
      </c>
      <c r="AJ270" s="23">
        <f t="shared" si="106"/>
        <v>1.9158559099507433</v>
      </c>
      <c r="AK270" s="23">
        <f t="shared" si="107"/>
        <v>14590566.474441977</v>
      </c>
      <c r="AL270" s="23">
        <f t="shared" si="108"/>
        <v>2228.0720416207887</v>
      </c>
      <c r="AM270" s="23">
        <f t="shared" si="109"/>
        <v>1.5306945000000001</v>
      </c>
      <c r="AN270" s="23">
        <f t="shared" si="110"/>
        <v>9.5457739762979053</v>
      </c>
      <c r="AO270" s="23">
        <f t="shared" si="112"/>
        <v>1.2515893820153119</v>
      </c>
    </row>
    <row r="271" spans="1:41">
      <c r="AA271" s="8"/>
      <c r="AB271" s="8"/>
      <c r="AC271" s="23">
        <f t="shared" si="100"/>
        <v>1.5995200000000001</v>
      </c>
      <c r="AD271" s="23">
        <f t="shared" si="101"/>
        <v>2318.9457000000002</v>
      </c>
      <c r="AE271" s="23">
        <f t="shared" si="102"/>
        <v>15.361940871733701</v>
      </c>
      <c r="AF271" s="60">
        <f t="shared" si="111"/>
        <v>608073.83059173462</v>
      </c>
      <c r="AG271" s="23">
        <f t="shared" si="103"/>
        <v>12522382.619117307</v>
      </c>
      <c r="AH271" s="23">
        <f t="shared" si="104"/>
        <v>1912.2472421733869</v>
      </c>
      <c r="AI271" s="23">
        <f t="shared" si="105"/>
        <v>7.9740555654601017</v>
      </c>
      <c r="AJ271" s="23">
        <f t="shared" si="106"/>
        <v>1.9990576314519111</v>
      </c>
      <c r="AK271" s="23">
        <f t="shared" si="107"/>
        <v>15361940.871733712</v>
      </c>
      <c r="AL271" s="23">
        <f t="shared" si="108"/>
        <v>2345.8658072457888</v>
      </c>
      <c r="AM271" s="23">
        <f t="shared" si="109"/>
        <v>1.5995200000000001</v>
      </c>
      <c r="AN271" s="23">
        <f t="shared" si="110"/>
        <v>9.6396706219678467</v>
      </c>
      <c r="AO271" s="23">
        <f t="shared" si="112"/>
        <v>0.66345515039224789</v>
      </c>
    </row>
    <row r="272" spans="1:41" ht="21">
      <c r="A272" s="201" t="s">
        <v>64</v>
      </c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01"/>
      <c r="P272" s="201"/>
      <c r="Q272" s="201"/>
      <c r="R272" s="201"/>
      <c r="S272" s="201"/>
      <c r="T272" s="201"/>
      <c r="U272" s="201"/>
      <c r="AA272" s="8"/>
      <c r="AB272" s="8"/>
      <c r="AC272" s="23">
        <f t="shared" si="100"/>
        <v>1.6924459599999999</v>
      </c>
      <c r="AD272" s="23">
        <f t="shared" si="101"/>
        <v>2489.1311999999998</v>
      </c>
      <c r="AE272" s="23">
        <f t="shared" si="102"/>
        <v>16.464794412288118</v>
      </c>
      <c r="AF272" s="60">
        <f t="shared" si="111"/>
        <v>643199.3457340952</v>
      </c>
      <c r="AG272" s="23">
        <f t="shared" si="103"/>
        <v>13482739.023765486</v>
      </c>
      <c r="AH272" s="23">
        <f t="shared" si="104"/>
        <v>2058.8997596056074</v>
      </c>
      <c r="AI272" s="23">
        <f t="shared" si="105"/>
        <v>8.1167306761079647</v>
      </c>
      <c r="AJ272" s="23">
        <f t="shared" si="106"/>
        <v>2.1108826703190222</v>
      </c>
      <c r="AK272" s="23">
        <f t="shared" si="107"/>
        <v>16464794.412288101</v>
      </c>
      <c r="AL272" s="23">
        <f t="shared" si="108"/>
        <v>2514.2785416207839</v>
      </c>
      <c r="AM272" s="23">
        <f t="shared" si="109"/>
        <v>1.6924459599999999</v>
      </c>
      <c r="AN272" s="23">
        <f t="shared" si="110"/>
        <v>9.7674936404170243</v>
      </c>
      <c r="AO272" s="23">
        <f t="shared" si="112"/>
        <v>0.90765372332964545</v>
      </c>
    </row>
    <row r="273" spans="1:41" ht="15.75" thickBot="1">
      <c r="A273" t="s">
        <v>55</v>
      </c>
      <c r="G273" s="206" t="s">
        <v>61</v>
      </c>
      <c r="H273" s="206"/>
      <c r="I273" s="206"/>
      <c r="J273" s="206"/>
      <c r="K273" s="208" t="s">
        <v>63</v>
      </c>
      <c r="L273" s="208"/>
      <c r="M273" s="208"/>
      <c r="N273" s="208"/>
      <c r="O273" s="126"/>
      <c r="Q273" s="207" t="s">
        <v>65</v>
      </c>
      <c r="R273" s="207"/>
      <c r="S273" s="207"/>
      <c r="T273" s="207"/>
      <c r="U273" s="207"/>
      <c r="AA273" s="8"/>
      <c r="AB273" s="8"/>
      <c r="AC273" s="23">
        <f t="shared" si="100"/>
        <v>1.7994600000000001</v>
      </c>
      <c r="AD273" s="23">
        <f t="shared" si="101"/>
        <v>2704.1226000000001</v>
      </c>
      <c r="AE273" s="23">
        <f t="shared" si="102"/>
        <v>17.858003743745567</v>
      </c>
      <c r="AF273" s="60">
        <f t="shared" si="111"/>
        <v>686941.31620220502</v>
      </c>
      <c r="AG273" s="23">
        <f t="shared" si="103"/>
        <v>14701970.752502244</v>
      </c>
      <c r="AH273" s="23">
        <f t="shared" si="104"/>
        <v>2245.0841818545409</v>
      </c>
      <c r="AI273" s="23">
        <f t="shared" si="105"/>
        <v>8.2871369908320105</v>
      </c>
      <c r="AJ273" s="23">
        <f t="shared" si="106"/>
        <v>2.2389746484366739</v>
      </c>
      <c r="AK273" s="23">
        <f t="shared" si="107"/>
        <v>17858003.743745565</v>
      </c>
      <c r="AL273" s="23">
        <f t="shared" si="108"/>
        <v>2727.0304478707858</v>
      </c>
      <c r="AM273" s="23">
        <f t="shared" si="109"/>
        <v>1.7994600000000001</v>
      </c>
      <c r="AN273" s="23">
        <f t="shared" si="110"/>
        <v>9.9194065571922678</v>
      </c>
      <c r="AO273" s="23">
        <f t="shared" si="112"/>
        <v>1.061515770087637</v>
      </c>
    </row>
    <row r="274" spans="1:41" ht="15.75" thickBot="1">
      <c r="A274" t="s">
        <v>57</v>
      </c>
      <c r="B274" t="s">
        <v>56</v>
      </c>
      <c r="C274" t="s">
        <v>59</v>
      </c>
      <c r="D274" t="s">
        <v>58</v>
      </c>
      <c r="E274" t="s">
        <v>60</v>
      </c>
      <c r="F274" t="s">
        <v>54</v>
      </c>
      <c r="G274" s="120" t="s">
        <v>60</v>
      </c>
      <c r="H274" s="120" t="s">
        <v>62</v>
      </c>
      <c r="I274" s="120" t="s">
        <v>13</v>
      </c>
      <c r="J274" s="120" t="s">
        <v>12</v>
      </c>
      <c r="K274" s="121" t="s">
        <v>60</v>
      </c>
      <c r="L274" s="121" t="s">
        <v>62</v>
      </c>
      <c r="M274" s="121" t="s">
        <v>59</v>
      </c>
      <c r="N274" s="121" t="s">
        <v>13</v>
      </c>
      <c r="O274" s="122" t="s">
        <v>5</v>
      </c>
      <c r="P274" s="122" t="s">
        <v>72</v>
      </c>
      <c r="Q274" s="123" t="s">
        <v>60</v>
      </c>
      <c r="R274" s="123" t="s">
        <v>66</v>
      </c>
      <c r="S274" s="123" t="s">
        <v>67</v>
      </c>
      <c r="T274" s="123" t="s">
        <v>68</v>
      </c>
      <c r="U274" s="123" t="s">
        <v>71</v>
      </c>
      <c r="V274" s="123" t="s">
        <v>11</v>
      </c>
      <c r="Y274" s="128" t="s">
        <v>69</v>
      </c>
      <c r="Z274" s="137" t="s">
        <v>70</v>
      </c>
      <c r="AA274" s="8"/>
      <c r="AB274" s="8"/>
      <c r="AC274" s="23">
        <f t="shared" si="100"/>
        <v>1.8890484999999999</v>
      </c>
      <c r="AD274" s="23">
        <f t="shared" si="101"/>
        <v>2912.0950499999999</v>
      </c>
      <c r="AE274" s="23">
        <f t="shared" si="102"/>
        <v>19.205728155168849</v>
      </c>
      <c r="AF274" s="60">
        <f t="shared" si="111"/>
        <v>728641.51301575429</v>
      </c>
      <c r="AG274" s="23">
        <f t="shared" si="103"/>
        <v>15887378.024349527</v>
      </c>
      <c r="AH274" s="23">
        <f t="shared" si="104"/>
        <v>2426.1033948857194</v>
      </c>
      <c r="AI274" s="23">
        <f t="shared" si="105"/>
        <v>8.4428081359969607</v>
      </c>
      <c r="AJ274" s="23">
        <f t="shared" si="106"/>
        <v>2.3456968143679866</v>
      </c>
      <c r="AK274" s="23">
        <f t="shared" si="107"/>
        <v>19205728.155168835</v>
      </c>
      <c r="AL274" s="23">
        <f t="shared" si="108"/>
        <v>2932.8365181832837</v>
      </c>
      <c r="AM274" s="23">
        <f t="shared" si="109"/>
        <v>1.8890484999999999</v>
      </c>
      <c r="AN274" s="23">
        <f t="shared" si="110"/>
        <v>10.057482498491497</v>
      </c>
      <c r="AO274" s="23">
        <f t="shared" si="112"/>
        <v>0.90103477081610395</v>
      </c>
    </row>
    <row r="275" spans="1:41">
      <c r="A275">
        <v>0</v>
      </c>
      <c r="B275">
        <v>0</v>
      </c>
      <c r="C275">
        <f>A275*0.00769</f>
        <v>0</v>
      </c>
      <c r="D275">
        <f>B275*9.615</f>
        <v>0</v>
      </c>
      <c r="E275">
        <f>(((0.069*D275*9.8)/(1*0.96*957))+0.098)/0.118</f>
        <v>0.8305084745762713</v>
      </c>
      <c r="F275">
        <f>((E275*10^6)^(1-0.36)*0.652*0.96*957)/(1700*(3.38*(10^(-3)/98066.5^0.36))*(0.95*324.38*2878)^0.5)</f>
        <v>42604.80282071454</v>
      </c>
      <c r="G275" s="120">
        <f>((2.74*(10^(-3)/98066.5^0.37)*1700*F275*(0.95*324.38*2634)^0.5)/(957*0.652*0.96))^(1/(1-0.37))</f>
        <v>573888.52334541443</v>
      </c>
      <c r="H275" s="120">
        <f>1/9.8*(0.92*0.95*G275*10^(-6)*957*((0.118-(0.098/G275))/0.069))</f>
        <v>83.763944926855842</v>
      </c>
      <c r="I275" s="120">
        <f>2.74*(G275/98066.5)^0.37</f>
        <v>5.2681011203064214</v>
      </c>
      <c r="J275" s="120">
        <v>0</v>
      </c>
      <c r="K275" s="121">
        <f>((3.38*(10^(-3)/98066.5^0.36)*1700*F275*(0.95*324.38*2928)^0.5)/(957*0.652*0.96))^(1/(1-0.36))</f>
        <v>841759.52486324974</v>
      </c>
      <c r="L275" s="121">
        <f>1/9.8*(0.94*0.95*K275*10^(-6)*957*((0.118-(0.098/K275))/0.069))</f>
        <v>125.53298283141913</v>
      </c>
      <c r="M275" s="121">
        <f t="shared" ref="M275:M306" si="113">C275</f>
        <v>0</v>
      </c>
      <c r="N275" s="121">
        <f>3.38*(K275/98066.5)^0.36</f>
        <v>7.3288688694596722</v>
      </c>
      <c r="O275" s="122">
        <v>0</v>
      </c>
      <c r="P275" s="122">
        <v>0</v>
      </c>
      <c r="Q275" s="123">
        <f>((3.92*(10^(-3)/98066.5^0.307)*1700*F275*(0.95*324.38*2858)^0.5)/(957*0.652*0.96))^(1/(1-0.307))</f>
        <v>869130.4572473797</v>
      </c>
      <c r="R275" s="123">
        <f>1/9.8*(0.9*0.95*Q275*10^(-6)*957*((0.118-(0.098/Q275))/0.069))</f>
        <v>124.09933312022406</v>
      </c>
      <c r="S275" s="123">
        <f>3.92*(Q275/98066.5)^0.307</f>
        <v>7.6592863296278946</v>
      </c>
      <c r="T275" s="123">
        <v>0</v>
      </c>
      <c r="U275">
        <f>(0.96*0.652*957*Q275*10^(-6))/(324.38*2858)</f>
        <v>5.6156423677220077E-4</v>
      </c>
      <c r="V275" s="123">
        <v>0</v>
      </c>
      <c r="Y275" s="129">
        <v>0</v>
      </c>
      <c r="Z275" s="138">
        <v>0</v>
      </c>
      <c r="AA275" s="8"/>
      <c r="AB275" s="8"/>
      <c r="AC275" s="23">
        <f t="shared" si="100"/>
        <v>1.9993999999999998</v>
      </c>
      <c r="AD275" s="23">
        <f t="shared" si="101"/>
        <v>3243.7164000000002</v>
      </c>
      <c r="AE275" s="23">
        <f t="shared" si="102"/>
        <v>21.354734856509079</v>
      </c>
      <c r="AF275" s="60">
        <f t="shared" si="111"/>
        <v>794008.7158324864</v>
      </c>
      <c r="AG275" s="23">
        <f t="shared" si="103"/>
        <v>17788778.302566674</v>
      </c>
      <c r="AH275" s="23">
        <f t="shared" si="104"/>
        <v>2716.4592836966276</v>
      </c>
      <c r="AI275" s="23">
        <f t="shared" si="105"/>
        <v>8.6749994192797306</v>
      </c>
      <c r="AJ275" s="23">
        <f t="shared" si="106"/>
        <v>2.4762387713928877</v>
      </c>
      <c r="AK275" s="23">
        <f t="shared" si="107"/>
        <v>21354734.856509056</v>
      </c>
      <c r="AL275" s="23">
        <f t="shared" si="108"/>
        <v>3261.0034791207836</v>
      </c>
      <c r="AM275" s="23">
        <f t="shared" si="109"/>
        <v>1.9993999999999998</v>
      </c>
      <c r="AN275" s="23">
        <f t="shared" si="110"/>
        <v>10.262220281397708</v>
      </c>
      <c r="AO275" s="23">
        <f t="shared" si="112"/>
        <v>1.1324514013826585</v>
      </c>
    </row>
    <row r="276" spans="1:41">
      <c r="A276">
        <v>2.16</v>
      </c>
      <c r="B276">
        <v>11.81</v>
      </c>
      <c r="C276">
        <f>A276*0.00769</f>
        <v>1.6610400000000001E-2</v>
      </c>
      <c r="D276">
        <f>B276*9.615</f>
        <v>113.55315</v>
      </c>
      <c r="E276">
        <f t="shared" ref="E276:E306" si="114">(((0.069*D276*9.8)/(1*0.96*957))+0.098)/0.118</f>
        <v>1.5387953175641573</v>
      </c>
      <c r="F276">
        <f t="shared" ref="F276:F306" si="115">((E276*10^6)^(1-0.36)*0.652*0.96*957)/(1700*(3.38*(10^(-3)/98066.5^0.36))*(0.95*324.38*2878)^0.5)</f>
        <v>63222.855020091374</v>
      </c>
      <c r="G276" s="120">
        <f t="shared" ref="G276:G306" si="116">((2.74*(10^(-3)/98066.5^0.37)*1700*F276*(0.95*324.38*2634)^0.5)/(957*0.652*0.96))^(1/(1-0.37))</f>
        <v>1073780.9753210784</v>
      </c>
      <c r="H276" s="120">
        <f t="shared" ref="H276:H306" si="117">1/9.8*(0.9*0.95*G276*10^(-6)*957*((0.118-(0.098/G276))/0.069))</f>
        <v>153.32051260175598</v>
      </c>
      <c r="I276" s="120">
        <f t="shared" ref="I276:I306" si="118">2.74*(G276/98066.5)^0.37</f>
        <v>6.6424259830942596</v>
      </c>
      <c r="J276" s="120">
        <f>J275+O276/I276</f>
        <v>2.2882926308789863E-2</v>
      </c>
      <c r="K276" s="121">
        <f t="shared" ref="K276:K306" si="119">((3.38*(10^(-3)/98066.5^0.36)*1700*F276*(0.95*324.38*2928)^0.5)/(957*0.652*0.96))^(1/(1-0.36))</f>
        <v>1559641.6593285981</v>
      </c>
      <c r="L276" s="121">
        <f t="shared" ref="L276:L306" si="120">1/9.8*(0.94*0.95*K276*10^(-6)*957*((0.118-(0.098/K276))/0.069))</f>
        <v>232.59203225400725</v>
      </c>
      <c r="M276" s="121">
        <f t="shared" si="113"/>
        <v>1.6610400000000001E-2</v>
      </c>
      <c r="N276" s="121">
        <f t="shared" ref="N276:N306" si="121">3.38*(K276/98066.5)^0.36</f>
        <v>9.1507816959698136</v>
      </c>
      <c r="O276" s="122">
        <f>(M276-M275)*N276</f>
        <v>0.151998144282737</v>
      </c>
      <c r="P276" s="122">
        <f>O276+P275</f>
        <v>0.151998144282737</v>
      </c>
      <c r="Q276" s="123">
        <f t="shared" ref="Q276:Q306" si="122">((3.92*(10^(-3)/98066.5^0.307)*1700*F276*(0.95*324.38*2858)^0.5)/(957*0.652*0.96))^(1/(1-0.307))</f>
        <v>1536164.9326589094</v>
      </c>
      <c r="R276" s="123">
        <f t="shared" ref="R276:R306" si="123">1/9.8*(0.9*0.95*Q276*10^(-6)*957*((0.118-(0.098/Q276))/0.069))</f>
        <v>219.34235673842227</v>
      </c>
      <c r="S276" s="123">
        <f t="shared" ref="S276:S306" si="124">3.92*(Q276/98066.5)^0.307</f>
        <v>9.1227471641365678</v>
      </c>
      <c r="T276" s="124">
        <f>T275+O276/S276</f>
        <v>1.6661444359685161E-2</v>
      </c>
      <c r="U276">
        <f t="shared" ref="U276:U306" si="125">(0.96*0.652*957*Q276*10^(-6))/(324.38*2858)</f>
        <v>9.9254983043274353E-4</v>
      </c>
      <c r="V276" s="123">
        <f t="shared" ref="V276:V306" si="126">(R276*9.807+R275*9.807)/2*(T276-T275)</f>
        <v>28.058977392365126</v>
      </c>
      <c r="Y276" s="130">
        <f t="shared" ref="Y276:Y306" si="127">(L276*9.807+L275*9.807)/2*(M276-M275)</f>
        <v>29.168958876944348</v>
      </c>
      <c r="Z276" s="139">
        <f t="shared" ref="Z276:Z306" si="128">(H276*9.807+H275*9.807)/2*(J276-J275)</f>
        <v>26.602400387471615</v>
      </c>
      <c r="AA276" s="8"/>
      <c r="AB276" s="8"/>
      <c r="AC276" s="23">
        <f t="shared" si="100"/>
        <v>2.1024613799999998</v>
      </c>
      <c r="AD276" s="23">
        <f t="shared" si="101"/>
        <v>3948.9766500000001</v>
      </c>
      <c r="AE276" s="23">
        <f t="shared" si="102"/>
        <v>25.925034698298155</v>
      </c>
      <c r="AF276" s="60">
        <f t="shared" si="111"/>
        <v>929068.32022005774</v>
      </c>
      <c r="AG276" s="23">
        <f t="shared" si="103"/>
        <v>21873204.561522938</v>
      </c>
      <c r="AH276" s="23">
        <f t="shared" si="104"/>
        <v>3340.1770932963268</v>
      </c>
      <c r="AI276" s="23">
        <f t="shared" si="105"/>
        <v>9.1161899216252014</v>
      </c>
      <c r="AJ276" s="23">
        <f t="shared" si="106"/>
        <v>2.5966111112251151</v>
      </c>
      <c r="AK276" s="23">
        <f t="shared" si="107"/>
        <v>25925034.698298186</v>
      </c>
      <c r="AL276" s="23">
        <f t="shared" si="108"/>
        <v>3958.9172681832915</v>
      </c>
      <c r="AM276" s="23">
        <f t="shared" si="109"/>
        <v>2.1024613799999998</v>
      </c>
      <c r="AN276" s="23">
        <f t="shared" si="110"/>
        <v>10.647413330007772</v>
      </c>
      <c r="AO276" s="23">
        <f t="shared" si="112"/>
        <v>1.0973371112209962</v>
      </c>
    </row>
    <row r="277" spans="1:41">
      <c r="A277">
        <v>8.4600000000000009</v>
      </c>
      <c r="B277">
        <v>65.25</v>
      </c>
      <c r="C277">
        <f t="shared" ref="C277:C306" si="129">A277*0.00769</f>
        <v>6.5057400000000001E-2</v>
      </c>
      <c r="D277">
        <f t="shared" ref="D277:D306" si="130">B277*9.615</f>
        <v>627.37874999999997</v>
      </c>
      <c r="E277">
        <f t="shared" si="114"/>
        <v>4.7437782887134068</v>
      </c>
      <c r="F277">
        <f t="shared" si="115"/>
        <v>129956.4864521219</v>
      </c>
      <c r="G277" s="120">
        <f t="shared" si="116"/>
        <v>3369925.0386578557</v>
      </c>
      <c r="H277" s="120">
        <f t="shared" si="117"/>
        <v>481.17718465794547</v>
      </c>
      <c r="I277" s="120">
        <f t="shared" si="118"/>
        <v>10.141621588821655</v>
      </c>
      <c r="J277" s="120">
        <f t="shared" ref="J277:J306" si="131">J276+O277/I277</f>
        <v>8.8442685841929269E-2</v>
      </c>
      <c r="K277" s="121">
        <f t="shared" si="119"/>
        <v>4808043.1212954205</v>
      </c>
      <c r="L277" s="121">
        <f t="shared" si="120"/>
        <v>717.03196461159416</v>
      </c>
      <c r="M277" s="121">
        <f t="shared" si="113"/>
        <v>6.5057400000000001E-2</v>
      </c>
      <c r="N277" s="121">
        <f t="shared" si="121"/>
        <v>13.72391010050659</v>
      </c>
      <c r="O277" s="122">
        <f t="shared" ref="O277:O306" si="132">(M277-M276)*N277</f>
        <v>0.66488227263924282</v>
      </c>
      <c r="P277" s="122">
        <f t="shared" ref="P277:P306" si="133">O277+P276</f>
        <v>0.81688041692197988</v>
      </c>
      <c r="Q277" s="123">
        <f t="shared" si="122"/>
        <v>4344976.4256863734</v>
      </c>
      <c r="R277" s="123">
        <f t="shared" si="123"/>
        <v>620.40063667880167</v>
      </c>
      <c r="S277" s="123">
        <f t="shared" si="124"/>
        <v>12.553110707135609</v>
      </c>
      <c r="T277" s="124">
        <f t="shared" ref="T277:T306" si="134">T276+O277/S277</f>
        <v>6.962698319312359E-2</v>
      </c>
      <c r="U277">
        <f t="shared" si="125"/>
        <v>2.8073844955467755E-3</v>
      </c>
      <c r="V277" s="123">
        <f t="shared" si="126"/>
        <v>218.09512766739209</v>
      </c>
      <c r="Y277" s="130">
        <f t="shared" si="127"/>
        <v>225.59254802134072</v>
      </c>
      <c r="Z277" s="139">
        <f t="shared" si="128"/>
        <v>203.97342194531427</v>
      </c>
      <c r="AA277" s="8"/>
      <c r="AB277" s="8"/>
      <c r="AC277" s="23">
        <f t="shared" si="100"/>
        <v>2.4912600899999999</v>
      </c>
      <c r="AD277" s="23">
        <f t="shared" si="101"/>
        <v>4100.4129000000003</v>
      </c>
      <c r="AE277" s="23">
        <f t="shared" si="102"/>
        <v>26.906387425062682</v>
      </c>
      <c r="AF277" s="60">
        <f t="shared" si="111"/>
        <v>957453.8459869856</v>
      </c>
      <c r="AG277" s="23">
        <f t="shared" si="103"/>
        <v>22756739.675644465</v>
      </c>
      <c r="AH277" s="23">
        <f t="shared" si="104"/>
        <v>3475.0985121555623</v>
      </c>
      <c r="AI277" s="23">
        <f t="shared" si="105"/>
        <v>9.2032410023242033</v>
      </c>
      <c r="AJ277" s="23">
        <f t="shared" si="106"/>
        <v>3.0496067100447872</v>
      </c>
      <c r="AK277" s="23">
        <f t="shared" si="107"/>
        <v>26906387.425062645</v>
      </c>
      <c r="AL277" s="23">
        <f t="shared" si="108"/>
        <v>4108.776057245781</v>
      </c>
      <c r="AM277" s="23">
        <f t="shared" si="109"/>
        <v>2.4912600899999999</v>
      </c>
      <c r="AN277" s="23">
        <f t="shared" si="110"/>
        <v>10.722843367792064</v>
      </c>
      <c r="AO277" s="23">
        <f t="shared" si="112"/>
        <v>4.1690276689296111</v>
      </c>
    </row>
    <row r="278" spans="1:41">
      <c r="A278">
        <v>9.81</v>
      </c>
      <c r="B278">
        <v>107.66</v>
      </c>
      <c r="C278">
        <f t="shared" si="129"/>
        <v>7.5438900000000003E-2</v>
      </c>
      <c r="D278">
        <f t="shared" si="130"/>
        <v>1035.1509000000001</v>
      </c>
      <c r="E278">
        <f t="shared" si="114"/>
        <v>7.2872537341931904</v>
      </c>
      <c r="F278">
        <f t="shared" si="115"/>
        <v>171048.49071676025</v>
      </c>
      <c r="G278" s="120">
        <f t="shared" si="116"/>
        <v>5212176.4071379574</v>
      </c>
      <c r="H278" s="120">
        <f t="shared" si="117"/>
        <v>744.2244439327477</v>
      </c>
      <c r="I278" s="120">
        <f t="shared" si="118"/>
        <v>11.917495101888193</v>
      </c>
      <c r="J278" s="120">
        <f t="shared" si="131"/>
        <v>0.10239580212914848</v>
      </c>
      <c r="K278" s="121">
        <f t="shared" si="119"/>
        <v>7385975.494087602</v>
      </c>
      <c r="L278" s="121">
        <f t="shared" si="120"/>
        <v>1101.4836399724745</v>
      </c>
      <c r="M278" s="121">
        <f t="shared" si="113"/>
        <v>7.5438900000000003E-2</v>
      </c>
      <c r="N278" s="121">
        <f t="shared" si="121"/>
        <v>16.017549969562328</v>
      </c>
      <c r="O278" s="122">
        <f t="shared" si="132"/>
        <v>0.16628619500901134</v>
      </c>
      <c r="P278" s="122">
        <f t="shared" si="133"/>
        <v>0.9831666119309912</v>
      </c>
      <c r="Q278" s="123">
        <f t="shared" si="122"/>
        <v>6459043.5295447977</v>
      </c>
      <c r="R278" s="123">
        <f t="shared" si="123"/>
        <v>922.25931194295515</v>
      </c>
      <c r="S278" s="123">
        <f t="shared" si="124"/>
        <v>14.177865776474844</v>
      </c>
      <c r="T278" s="124">
        <f t="shared" si="134"/>
        <v>8.135556051432577E-2</v>
      </c>
      <c r="U278">
        <f t="shared" si="125"/>
        <v>4.1733295844157137E-3</v>
      </c>
      <c r="V278" s="123">
        <f t="shared" si="126"/>
        <v>88.720038012594145</v>
      </c>
      <c r="Y278" s="130">
        <f t="shared" si="127"/>
        <v>92.572782989170079</v>
      </c>
      <c r="Z278" s="139">
        <f t="shared" si="128"/>
        <v>83.840883569119313</v>
      </c>
      <c r="AA278" s="8"/>
      <c r="AB278" s="8"/>
      <c r="AC278" s="23">
        <f t="shared" si="100"/>
        <v>2.8674933400000002</v>
      </c>
      <c r="AD278" s="23">
        <f t="shared" si="101"/>
        <v>4239.9265500000001</v>
      </c>
      <c r="AE278" s="23">
        <f t="shared" si="102"/>
        <v>27.810478095878768</v>
      </c>
      <c r="AF278" s="60">
        <f t="shared" si="111"/>
        <v>983430.85382092767</v>
      </c>
      <c r="AG278" s="23">
        <f t="shared" si="103"/>
        <v>23572594.509392083</v>
      </c>
      <c r="AH278" s="23">
        <f t="shared" si="104"/>
        <v>3599.6847227011845</v>
      </c>
      <c r="AI278" s="23">
        <f t="shared" si="105"/>
        <v>9.2813715264509913</v>
      </c>
      <c r="AJ278" s="23">
        <f t="shared" si="106"/>
        <v>3.4870100156947594</v>
      </c>
      <c r="AK278" s="23">
        <f t="shared" si="107"/>
        <v>27810478.095878735</v>
      </c>
      <c r="AL278" s="23">
        <f t="shared" si="108"/>
        <v>4246.8364400582823</v>
      </c>
      <c r="AM278" s="23">
        <f t="shared" si="109"/>
        <v>2.8674933400000002</v>
      </c>
      <c r="AN278" s="23">
        <f t="shared" si="110"/>
        <v>10.790387576417523</v>
      </c>
      <c r="AO278" s="23">
        <f t="shared" si="112"/>
        <v>4.0597025866351908</v>
      </c>
    </row>
    <row r="279" spans="1:41">
      <c r="A279">
        <v>26</v>
      </c>
      <c r="B279">
        <v>109.47</v>
      </c>
      <c r="C279">
        <f t="shared" si="129"/>
        <v>0.19994000000000001</v>
      </c>
      <c r="D279">
        <f t="shared" si="130"/>
        <v>1052.55405</v>
      </c>
      <c r="E279">
        <f t="shared" si="114"/>
        <v>7.3958057397654224</v>
      </c>
      <c r="F279">
        <f t="shared" si="115"/>
        <v>172674.84424515543</v>
      </c>
      <c r="G279" s="120">
        <f t="shared" si="116"/>
        <v>5291059.4368727822</v>
      </c>
      <c r="H279" s="120">
        <f t="shared" si="117"/>
        <v>755.48781717814654</v>
      </c>
      <c r="I279" s="120">
        <f t="shared" si="118"/>
        <v>11.98391416503584</v>
      </c>
      <c r="J279" s="120">
        <f t="shared" si="131"/>
        <v>0.26969057196529012</v>
      </c>
      <c r="K279" s="121">
        <f t="shared" si="119"/>
        <v>7495998.0735441726</v>
      </c>
      <c r="L279" s="121">
        <f t="shared" si="120"/>
        <v>1117.8915044479068</v>
      </c>
      <c r="M279" s="121">
        <f t="shared" si="113"/>
        <v>0.19994000000000001</v>
      </c>
      <c r="N279" s="121">
        <f t="shared" si="121"/>
        <v>16.103039748048399</v>
      </c>
      <c r="O279" s="122">
        <f t="shared" si="132"/>
        <v>2.0048461619757485</v>
      </c>
      <c r="P279" s="122">
        <f t="shared" si="133"/>
        <v>2.9880127739067399</v>
      </c>
      <c r="Q279" s="123">
        <f t="shared" si="122"/>
        <v>6547849.623789737</v>
      </c>
      <c r="R279" s="123">
        <f t="shared" si="123"/>
        <v>934.93955748257645</v>
      </c>
      <c r="S279" s="123">
        <f t="shared" si="124"/>
        <v>14.237427303692344</v>
      </c>
      <c r="T279" s="124">
        <f t="shared" si="134"/>
        <v>0.22217075972210751</v>
      </c>
      <c r="U279">
        <f t="shared" si="125"/>
        <v>4.2307091482309354E-3</v>
      </c>
      <c r="V279" s="123">
        <f t="shared" si="126"/>
        <v>1282.3722873571373</v>
      </c>
      <c r="Y279" s="130">
        <f t="shared" si="127"/>
        <v>1354.9088705494576</v>
      </c>
      <c r="Z279" s="139">
        <f t="shared" si="128"/>
        <v>1230.2588150220349</v>
      </c>
      <c r="AA279" s="8"/>
      <c r="AB279" s="8"/>
      <c r="AC279" s="23">
        <f t="shared" si="100"/>
        <v>2.9990999999999999</v>
      </c>
      <c r="AD279" s="23">
        <f t="shared" si="101"/>
        <v>4279.1557499999999</v>
      </c>
      <c r="AE279" s="23">
        <f t="shared" si="102"/>
        <v>28.064695183193002</v>
      </c>
      <c r="AF279" s="60">
        <f t="shared" si="111"/>
        <v>990706.12504542083</v>
      </c>
      <c r="AG279" s="23">
        <f t="shared" si="103"/>
        <v>23802317.941055674</v>
      </c>
      <c r="AH279" s="23">
        <f t="shared" si="104"/>
        <v>3634.7649485460638</v>
      </c>
      <c r="AI279" s="23">
        <f t="shared" si="105"/>
        <v>9.3029996676240252</v>
      </c>
      <c r="AJ279" s="23">
        <f t="shared" si="106"/>
        <v>3.6399224360151772</v>
      </c>
      <c r="AK279" s="23">
        <f t="shared" si="107"/>
        <v>28064695.183192957</v>
      </c>
      <c r="AL279" s="23">
        <f t="shared" si="108"/>
        <v>4285.6570025582787</v>
      </c>
      <c r="AM279" s="23">
        <f t="shared" si="109"/>
        <v>2.9990999999999999</v>
      </c>
      <c r="AN279" s="23">
        <f t="shared" si="110"/>
        <v>10.80905932432624</v>
      </c>
      <c r="AO279" s="23">
        <f t="shared" si="112"/>
        <v>1.4225441954164295</v>
      </c>
    </row>
    <row r="280" spans="1:41">
      <c r="A280">
        <v>38.380000000000003</v>
      </c>
      <c r="B280">
        <v>111.34</v>
      </c>
      <c r="C280">
        <f t="shared" si="129"/>
        <v>0.29514220000000002</v>
      </c>
      <c r="D280">
        <f t="shared" si="130"/>
        <v>1070.5341000000001</v>
      </c>
      <c r="E280">
        <f t="shared" si="114"/>
        <v>7.5079561543621507</v>
      </c>
      <c r="F280">
        <f t="shared" si="115"/>
        <v>174346.10991878086</v>
      </c>
      <c r="G280" s="120">
        <f t="shared" si="116"/>
        <v>5372576.6753423633</v>
      </c>
      <c r="H280" s="120">
        <f t="shared" si="117"/>
        <v>767.12731791618364</v>
      </c>
      <c r="I280" s="120">
        <f t="shared" si="118"/>
        <v>12.051898990536289</v>
      </c>
      <c r="J280" s="120">
        <f t="shared" si="131"/>
        <v>0.3975852314511138</v>
      </c>
      <c r="K280" s="121">
        <f t="shared" si="119"/>
        <v>7609667.8103308287</v>
      </c>
      <c r="L280" s="121">
        <f t="shared" si="120"/>
        <v>1134.8432760330272</v>
      </c>
      <c r="M280" s="121">
        <f t="shared" si="113"/>
        <v>0.29514220000000002</v>
      </c>
      <c r="N280" s="121">
        <f t="shared" si="121"/>
        <v>16.190524142847337</v>
      </c>
      <c r="O280" s="122">
        <f t="shared" si="132"/>
        <v>1.541373517552181</v>
      </c>
      <c r="P280" s="122">
        <f t="shared" si="133"/>
        <v>4.5293862914589207</v>
      </c>
      <c r="Q280" s="123">
        <f t="shared" si="122"/>
        <v>6639494.9410331575</v>
      </c>
      <c r="R280" s="123">
        <f t="shared" si="123"/>
        <v>948.02520363201575</v>
      </c>
      <c r="S280" s="123">
        <f t="shared" si="124"/>
        <v>14.298308996061341</v>
      </c>
      <c r="T280" s="124">
        <f t="shared" si="134"/>
        <v>0.32997186529177824</v>
      </c>
      <c r="U280">
        <f t="shared" si="125"/>
        <v>4.2899231962514614E-3</v>
      </c>
      <c r="V280" s="123">
        <f t="shared" si="126"/>
        <v>995.34029657522058</v>
      </c>
      <c r="Y280" s="130">
        <f t="shared" si="127"/>
        <v>1051.6306334545939</v>
      </c>
      <c r="Z280" s="139">
        <f t="shared" si="128"/>
        <v>954.87985693597693</v>
      </c>
      <c r="AA280" s="8"/>
      <c r="AB280" s="8"/>
      <c r="AC280" s="23">
        <f t="shared" si="100"/>
        <v>3.1154497000000001</v>
      </c>
      <c r="AD280" s="23">
        <f t="shared" si="101"/>
        <v>4307.6161499999998</v>
      </c>
      <c r="AE280" s="23">
        <f t="shared" si="102"/>
        <v>28.249127187715096</v>
      </c>
      <c r="AF280" s="60">
        <f t="shared" si="111"/>
        <v>995976.42471398436</v>
      </c>
      <c r="AG280" s="23">
        <f t="shared" si="103"/>
        <v>23969065.819401726</v>
      </c>
      <c r="AH280" s="23">
        <f t="shared" si="104"/>
        <v>3660.2284077551353</v>
      </c>
      <c r="AI280" s="23">
        <f t="shared" si="105"/>
        <v>9.3185995877801258</v>
      </c>
      <c r="AJ280" s="23">
        <f t="shared" si="106"/>
        <v>3.7750497086539401</v>
      </c>
      <c r="AK280" s="23">
        <f t="shared" si="107"/>
        <v>28249127.187715065</v>
      </c>
      <c r="AL280" s="23">
        <f t="shared" si="108"/>
        <v>4313.8209400582809</v>
      </c>
      <c r="AM280" s="23">
        <f t="shared" si="109"/>
        <v>3.1154497000000001</v>
      </c>
      <c r="AN280" s="23">
        <f t="shared" si="110"/>
        <v>10.822519930085146</v>
      </c>
      <c r="AO280" s="23">
        <f t="shared" si="112"/>
        <v>1.2591969471094302</v>
      </c>
    </row>
    <row r="281" spans="1:41">
      <c r="A281">
        <v>52</v>
      </c>
      <c r="B281">
        <v>113.81</v>
      </c>
      <c r="C281">
        <f t="shared" si="129"/>
        <v>0.39988000000000001</v>
      </c>
      <c r="D281">
        <f t="shared" si="130"/>
        <v>1094.28315</v>
      </c>
      <c r="E281">
        <f t="shared" si="114"/>
        <v>7.6560906592038176</v>
      </c>
      <c r="F281">
        <f t="shared" si="115"/>
        <v>176539.90116160788</v>
      </c>
      <c r="G281" s="120">
        <f t="shared" si="116"/>
        <v>5480278.7611787785</v>
      </c>
      <c r="H281" s="120">
        <f t="shared" si="117"/>
        <v>782.50564195066204</v>
      </c>
      <c r="I281" s="120">
        <f t="shared" si="118"/>
        <v>12.140732585451527</v>
      </c>
      <c r="J281" s="120">
        <f t="shared" si="131"/>
        <v>0.53824638831178717</v>
      </c>
      <c r="K281" s="121">
        <f t="shared" si="119"/>
        <v>7759809.1204179628</v>
      </c>
      <c r="L281" s="121">
        <f t="shared" si="120"/>
        <v>1157.2341187149696</v>
      </c>
      <c r="M281" s="121">
        <f t="shared" si="113"/>
        <v>0.39988000000000001</v>
      </c>
      <c r="N281" s="121">
        <f t="shared" si="121"/>
        <v>16.304805816101602</v>
      </c>
      <c r="O281" s="122">
        <f t="shared" si="132"/>
        <v>1.7077294906056864</v>
      </c>
      <c r="P281" s="122">
        <f t="shared" si="133"/>
        <v>6.237115782064607</v>
      </c>
      <c r="Q281" s="123">
        <f t="shared" si="122"/>
        <v>6760385.0570700569</v>
      </c>
      <c r="R281" s="123">
        <f t="shared" si="123"/>
        <v>965.28659056378672</v>
      </c>
      <c r="S281" s="123">
        <f t="shared" si="124"/>
        <v>14.377734167103176</v>
      </c>
      <c r="T281" s="124">
        <f t="shared" si="134"/>
        <v>0.44874784701169618</v>
      </c>
      <c r="U281">
        <f t="shared" si="125"/>
        <v>4.3680329497176682E-3</v>
      </c>
      <c r="V281" s="123">
        <f t="shared" si="126"/>
        <v>1114.3472789937516</v>
      </c>
      <c r="Y281" s="130">
        <f t="shared" si="127"/>
        <v>1177.1692394057648</v>
      </c>
      <c r="Z281" s="139">
        <f t="shared" si="128"/>
        <v>1068.8314138140249</v>
      </c>
      <c r="AA281" s="8"/>
      <c r="AB281" s="8"/>
      <c r="AC281" s="23">
        <f t="shared" si="100"/>
        <v>3.3127674099999997</v>
      </c>
      <c r="AD281" s="23">
        <f t="shared" si="101"/>
        <v>1727.33475</v>
      </c>
      <c r="AE281" s="23">
        <f t="shared" si="102"/>
        <v>11.528122885840281</v>
      </c>
      <c r="AF281" s="60">
        <f t="shared" si="111"/>
        <v>481902.79459942284</v>
      </c>
      <c r="AG281" s="23">
        <f t="shared" si="103"/>
        <v>9221389.2153033465</v>
      </c>
      <c r="AH281" s="23">
        <f t="shared" si="104"/>
        <v>1408.1646012357028</v>
      </c>
      <c r="AI281" s="23">
        <f t="shared" si="105"/>
        <v>7.4094421177276901</v>
      </c>
      <c r="AJ281" s="23">
        <f t="shared" si="106"/>
        <v>4.0181313320841356</v>
      </c>
      <c r="AK281" s="23">
        <f t="shared" si="107"/>
        <v>11528122.885840271</v>
      </c>
      <c r="AL281" s="23">
        <f t="shared" si="108"/>
        <v>1760.417471308285</v>
      </c>
      <c r="AM281" s="23">
        <f t="shared" si="109"/>
        <v>3.3127674099999997</v>
      </c>
      <c r="AN281" s="23">
        <f t="shared" si="110"/>
        <v>9.1279146645748011</v>
      </c>
      <c r="AO281" s="23">
        <f t="shared" si="112"/>
        <v>1.8010992186893147</v>
      </c>
    </row>
    <row r="282" spans="1:41">
      <c r="A282">
        <v>65.239999999999995</v>
      </c>
      <c r="B282">
        <v>116.71</v>
      </c>
      <c r="C282">
        <f t="shared" si="129"/>
        <v>0.50169559999999991</v>
      </c>
      <c r="D282">
        <f t="shared" si="130"/>
        <v>1122.1666499999999</v>
      </c>
      <c r="E282">
        <f t="shared" si="114"/>
        <v>7.8300137620543557</v>
      </c>
      <c r="F282">
        <f t="shared" si="115"/>
        <v>179096.20038032872</v>
      </c>
      <c r="G282" s="120">
        <f t="shared" si="116"/>
        <v>5606772.7821969045</v>
      </c>
      <c r="H282" s="120">
        <f t="shared" si="117"/>
        <v>800.56718670658711</v>
      </c>
      <c r="I282" s="120">
        <f t="shared" si="118"/>
        <v>12.243672567077638</v>
      </c>
      <c r="J282" s="120">
        <f t="shared" si="131"/>
        <v>0.67493433320009366</v>
      </c>
      <c r="K282" s="121">
        <f t="shared" si="119"/>
        <v>7936088.3913705321</v>
      </c>
      <c r="L282" s="121">
        <f t="shared" si="120"/>
        <v>1183.5229623496482</v>
      </c>
      <c r="M282" s="121">
        <f t="shared" si="113"/>
        <v>0.50169559999999991</v>
      </c>
      <c r="N282" s="121">
        <f t="shared" si="121"/>
        <v>16.437190775079461</v>
      </c>
      <c r="O282" s="122">
        <f t="shared" si="132"/>
        <v>1.6735624410791787</v>
      </c>
      <c r="P282" s="122">
        <f t="shared" si="133"/>
        <v>7.910678223143786</v>
      </c>
      <c r="Q282" s="123">
        <f t="shared" si="122"/>
        <v>6902092.9343071729</v>
      </c>
      <c r="R282" s="123">
        <f t="shared" si="123"/>
        <v>985.52045732195165</v>
      </c>
      <c r="S282" s="123">
        <f t="shared" si="124"/>
        <v>14.469593351357927</v>
      </c>
      <c r="T282" s="124">
        <f t="shared" si="134"/>
        <v>0.56440848794616449</v>
      </c>
      <c r="U282">
        <f t="shared" si="125"/>
        <v>4.4595935149489233E-3</v>
      </c>
      <c r="V282" s="123">
        <f t="shared" si="126"/>
        <v>1106.3845187171612</v>
      </c>
      <c r="Y282" s="130">
        <f t="shared" si="127"/>
        <v>1168.629514201248</v>
      </c>
      <c r="Z282" s="139">
        <f t="shared" si="128"/>
        <v>1061.0535150330718</v>
      </c>
      <c r="AA282" s="8"/>
      <c r="AB282" s="8"/>
      <c r="AC282" s="23">
        <f t="shared" ref="AC282:AC284" si="135">C253</f>
        <v>3.4771873000000002</v>
      </c>
      <c r="AD282" s="23">
        <f t="shared" ref="AD282:AD284" si="136">D253</f>
        <v>273.73905000000002</v>
      </c>
      <c r="AE282" s="23">
        <f t="shared" ref="AE282:AE284" si="137">E253</f>
        <v>2.1083828710935411</v>
      </c>
      <c r="AF282" s="60">
        <f t="shared" ref="AF282:AF284" si="138">F253</f>
        <v>121712.18506070077</v>
      </c>
      <c r="AG282" s="23">
        <f t="shared" ref="AG282:AG284" si="139">G253</f>
        <v>1508159.1090253557</v>
      </c>
      <c r="AH282" s="23">
        <f t="shared" ref="AH282:AH284" si="140">H253</f>
        <v>230.30541568254287</v>
      </c>
      <c r="AI282" s="23">
        <f t="shared" ref="AI282:AI284" si="141">I253</f>
        <v>4.7980161307939548</v>
      </c>
      <c r="AJ282" s="23">
        <f t="shared" ref="AJ282:AJ284" si="142">J253</f>
        <v>4.2446377377308986</v>
      </c>
      <c r="AK282" s="23">
        <f t="shared" ref="AK282:AK284" si="143">K253</f>
        <v>2108382.8710935395</v>
      </c>
      <c r="AL282" s="23">
        <f t="shared" ref="AL282:AL284" si="144">L253</f>
        <v>321.96339318328626</v>
      </c>
      <c r="AM282" s="23">
        <f t="shared" ref="AM282:AM284" si="145">M253</f>
        <v>3.4771873000000002</v>
      </c>
      <c r="AN282" s="23">
        <f t="shared" ref="AN282:AN284" si="146">N253</f>
        <v>6.6097926961350364</v>
      </c>
      <c r="AO282" s="23">
        <f t="shared" ref="AO282:AO284" si="147">O253</f>
        <v>1.0867813880213291</v>
      </c>
    </row>
    <row r="283" spans="1:41">
      <c r="A283">
        <v>78</v>
      </c>
      <c r="B283">
        <v>120.75</v>
      </c>
      <c r="C283">
        <f t="shared" si="129"/>
        <v>0.59982000000000002</v>
      </c>
      <c r="D283">
        <f t="shared" si="130"/>
        <v>1161.01125</v>
      </c>
      <c r="E283">
        <f t="shared" si="114"/>
        <v>8.0723066363702802</v>
      </c>
      <c r="F283">
        <f t="shared" si="115"/>
        <v>182623.58013640731</v>
      </c>
      <c r="G283" s="120">
        <f t="shared" si="116"/>
        <v>5783066.1912561199</v>
      </c>
      <c r="H283" s="120">
        <f t="shared" si="117"/>
        <v>825.73937486432874</v>
      </c>
      <c r="I283" s="120">
        <f t="shared" si="118"/>
        <v>12.384726870676408</v>
      </c>
      <c r="J283" s="120">
        <f t="shared" si="131"/>
        <v>0.80660311631932524</v>
      </c>
      <c r="K283" s="121">
        <f t="shared" si="119"/>
        <v>8181663.651594054</v>
      </c>
      <c r="L283" s="121">
        <f t="shared" si="120"/>
        <v>1220.1460410682955</v>
      </c>
      <c r="M283" s="121">
        <f t="shared" si="113"/>
        <v>0.59982000000000002</v>
      </c>
      <c r="N283" s="121">
        <f t="shared" si="121"/>
        <v>16.618516050299508</v>
      </c>
      <c r="O283" s="122">
        <f t="shared" si="132"/>
        <v>1.6306819163260109</v>
      </c>
      <c r="P283" s="122">
        <f t="shared" si="133"/>
        <v>9.5413601394697967</v>
      </c>
      <c r="Q283" s="123">
        <f t="shared" si="122"/>
        <v>7099106.9309664499</v>
      </c>
      <c r="R283" s="123">
        <f t="shared" si="123"/>
        <v>1013.6512502998687</v>
      </c>
      <c r="S283" s="123">
        <f t="shared" si="124"/>
        <v>14.595156661873412</v>
      </c>
      <c r="T283" s="124">
        <f t="shared" si="134"/>
        <v>0.67613609417226295</v>
      </c>
      <c r="U283">
        <f t="shared" si="125"/>
        <v>4.5868885760583953E-3</v>
      </c>
      <c r="V283" s="123">
        <f t="shared" si="126"/>
        <v>1095.2588490475316</v>
      </c>
      <c r="Y283" s="130">
        <f t="shared" si="127"/>
        <v>1156.532540944678</v>
      </c>
      <c r="Z283" s="139">
        <f t="shared" si="128"/>
        <v>1050.0051174310274</v>
      </c>
      <c r="AA283" s="8"/>
      <c r="AB283" s="8"/>
      <c r="AC283" s="23">
        <f t="shared" si="135"/>
        <v>3.6645926000000002</v>
      </c>
      <c r="AD283" s="23">
        <f t="shared" si="136"/>
        <v>22.499099999999999</v>
      </c>
      <c r="AE283" s="23">
        <f t="shared" si="137"/>
        <v>0.48027196630896468</v>
      </c>
      <c r="AF283" s="60">
        <f t="shared" si="138"/>
        <v>36723.126049883409</v>
      </c>
      <c r="AG283" s="23">
        <f t="shared" si="139"/>
        <v>311686.26654563961</v>
      </c>
      <c r="AH283" s="23">
        <f t="shared" si="140"/>
        <v>47.596419793442266</v>
      </c>
      <c r="AI283" s="23">
        <f t="shared" si="141"/>
        <v>3.2864469405127457</v>
      </c>
      <c r="AJ283" s="23">
        <f t="shared" si="142"/>
        <v>4.5291986581261057</v>
      </c>
      <c r="AK283" s="23">
        <f t="shared" si="143"/>
        <v>480271.96630896465</v>
      </c>
      <c r="AL283" s="23">
        <f t="shared" si="144"/>
        <v>73.340525995786507</v>
      </c>
      <c r="AM283" s="23">
        <f t="shared" si="145"/>
        <v>3.6645926000000002</v>
      </c>
      <c r="AN283" s="23">
        <f t="shared" si="146"/>
        <v>4.9902236821601074</v>
      </c>
      <c r="AO283" s="23">
        <f t="shared" si="147"/>
        <v>0.93519436622231955</v>
      </c>
    </row>
    <row r="284" spans="1:41" ht="15.75" thickBot="1">
      <c r="A284">
        <v>87.05</v>
      </c>
      <c r="B284">
        <v>124.8</v>
      </c>
      <c r="C284">
        <f t="shared" si="129"/>
        <v>0.66941449999999991</v>
      </c>
      <c r="D284">
        <f t="shared" si="130"/>
        <v>1199.952</v>
      </c>
      <c r="E284">
        <f t="shared" si="114"/>
        <v>8.315199245523619</v>
      </c>
      <c r="F284">
        <f t="shared" si="115"/>
        <v>186121.63474139853</v>
      </c>
      <c r="G284" s="120">
        <f t="shared" si="116"/>
        <v>5959880.3049929142</v>
      </c>
      <c r="H284" s="120">
        <f t="shared" si="117"/>
        <v>850.98591223449193</v>
      </c>
      <c r="I284" s="120">
        <f t="shared" si="118"/>
        <v>12.523502355755159</v>
      </c>
      <c r="J284" s="120">
        <f t="shared" si="131"/>
        <v>0.89994495713056555</v>
      </c>
      <c r="K284" s="121">
        <f t="shared" si="119"/>
        <v>8427846.77137262</v>
      </c>
      <c r="L284" s="121">
        <f t="shared" si="120"/>
        <v>1256.8597709718952</v>
      </c>
      <c r="M284" s="121">
        <f t="shared" si="113"/>
        <v>0.66941449999999991</v>
      </c>
      <c r="N284" s="121">
        <f t="shared" si="121"/>
        <v>16.796826808010596</v>
      </c>
      <c r="O284" s="122">
        <f t="shared" si="132"/>
        <v>1.1689667632900917</v>
      </c>
      <c r="P284" s="122">
        <f t="shared" si="133"/>
        <v>10.710326902759888</v>
      </c>
      <c r="Q284" s="123">
        <f t="shared" si="122"/>
        <v>7296155.1130736312</v>
      </c>
      <c r="R284" s="123">
        <f t="shared" si="123"/>
        <v>1041.7869244728993</v>
      </c>
      <c r="S284" s="123">
        <f t="shared" si="124"/>
        <v>14.718348961587886</v>
      </c>
      <c r="T284" s="124">
        <f t="shared" si="134"/>
        <v>0.75555850536395808</v>
      </c>
      <c r="U284">
        <f t="shared" si="125"/>
        <v>4.7142057251349841E-3</v>
      </c>
      <c r="V284" s="123">
        <f t="shared" si="126"/>
        <v>800.48586138559517</v>
      </c>
      <c r="Y284" s="130">
        <f t="shared" si="127"/>
        <v>845.29465776500206</v>
      </c>
      <c r="Z284" s="139">
        <f t="shared" si="128"/>
        <v>767.44004186645475</v>
      </c>
      <c r="AA284" s="8"/>
      <c r="AB284" s="8"/>
      <c r="AC284" s="24">
        <f t="shared" si="135"/>
        <v>3.9987999999999997</v>
      </c>
      <c r="AD284" s="24">
        <f t="shared" si="136"/>
        <v>0</v>
      </c>
      <c r="AE284" s="24">
        <f t="shared" si="137"/>
        <v>0.33447098976109219</v>
      </c>
      <c r="AF284" s="62">
        <f t="shared" si="138"/>
        <v>27394.623109645883</v>
      </c>
      <c r="AG284" s="24">
        <f t="shared" si="139"/>
        <v>211958.80627479113</v>
      </c>
      <c r="AH284" s="24">
        <f t="shared" si="140"/>
        <v>32.367403737471228</v>
      </c>
      <c r="AI284" s="24">
        <f t="shared" si="141"/>
        <v>2.9959512105732213</v>
      </c>
      <c r="AJ284" s="24">
        <f t="shared" si="142"/>
        <v>5.0488916610169543</v>
      </c>
      <c r="AK284" s="24">
        <f t="shared" si="143"/>
        <v>334470.98976109229</v>
      </c>
      <c r="AL284" s="24">
        <f t="shared" si="144"/>
        <v>51.075791620786532</v>
      </c>
      <c r="AM284" s="24">
        <f t="shared" si="145"/>
        <v>3.9987999999999997</v>
      </c>
      <c r="AN284" s="24">
        <f t="shared" si="146"/>
        <v>4.6587085777791666</v>
      </c>
      <c r="AO284" s="24">
        <f t="shared" si="147"/>
        <v>1.5569748811372706</v>
      </c>
    </row>
    <row r="285" spans="1:41">
      <c r="A285">
        <v>104</v>
      </c>
      <c r="B285">
        <v>134.80000000000001</v>
      </c>
      <c r="C285">
        <f t="shared" si="129"/>
        <v>0.79976000000000003</v>
      </c>
      <c r="D285">
        <f t="shared" si="130"/>
        <v>1296.1020000000001</v>
      </c>
      <c r="E285">
        <f t="shared" si="114"/>
        <v>8.9149340829392738</v>
      </c>
      <c r="F285">
        <f t="shared" si="115"/>
        <v>194604.98599688892</v>
      </c>
      <c r="G285" s="120">
        <f t="shared" si="116"/>
        <v>6396804.8378654271</v>
      </c>
      <c r="H285" s="120">
        <f t="shared" si="117"/>
        <v>913.3725131340525</v>
      </c>
      <c r="I285" s="120">
        <f t="shared" si="118"/>
        <v>12.855656515366665</v>
      </c>
      <c r="J285" s="120">
        <f t="shared" si="131"/>
        <v>1.0745743716080067</v>
      </c>
      <c r="K285" s="121">
        <f t="shared" si="119"/>
        <v>9035706.326381363</v>
      </c>
      <c r="L285" s="121">
        <f t="shared" si="120"/>
        <v>1347.5109559190457</v>
      </c>
      <c r="M285" s="121">
        <f t="shared" si="113"/>
        <v>0.79976000000000003</v>
      </c>
      <c r="N285" s="121">
        <f t="shared" si="121"/>
        <v>17.223270231819139</v>
      </c>
      <c r="O285" s="122">
        <f t="shared" si="132"/>
        <v>2.2449757700015835</v>
      </c>
      <c r="P285" s="122">
        <f t="shared" si="133"/>
        <v>12.955302672761473</v>
      </c>
      <c r="Q285" s="123">
        <f t="shared" si="122"/>
        <v>7780838.2737164926</v>
      </c>
      <c r="R285" s="123">
        <f t="shared" si="123"/>
        <v>1110.9927772707936</v>
      </c>
      <c r="S285" s="123">
        <f t="shared" si="124"/>
        <v>15.011853617168191</v>
      </c>
      <c r="T285" s="124">
        <f t="shared" si="134"/>
        <v>0.90510537860512363</v>
      </c>
      <c r="U285">
        <f t="shared" si="125"/>
        <v>5.0273701378110401E-3</v>
      </c>
      <c r="V285" s="123">
        <f t="shared" si="126"/>
        <v>1578.6400137029143</v>
      </c>
      <c r="Y285" s="130">
        <f t="shared" si="127"/>
        <v>1664.5813604676578</v>
      </c>
      <c r="Z285" s="131">
        <f t="shared" si="128"/>
        <v>1510.8118869528269</v>
      </c>
    </row>
    <row r="286" spans="1:41">
      <c r="A286">
        <v>118.33</v>
      </c>
      <c r="B286">
        <v>145.6</v>
      </c>
      <c r="C286">
        <f t="shared" si="129"/>
        <v>0.90995769999999998</v>
      </c>
      <c r="D286">
        <f t="shared" si="130"/>
        <v>1399.944</v>
      </c>
      <c r="E286">
        <f t="shared" si="114"/>
        <v>9.5626477073481784</v>
      </c>
      <c r="F286">
        <f t="shared" si="115"/>
        <v>203539.34661525005</v>
      </c>
      <c r="G286" s="120">
        <f t="shared" si="116"/>
        <v>6869207.1512434473</v>
      </c>
      <c r="H286" s="120">
        <f t="shared" si="117"/>
        <v>980.82483583835585</v>
      </c>
      <c r="I286" s="120">
        <f t="shared" si="118"/>
        <v>13.199070841799344</v>
      </c>
      <c r="J286" s="120">
        <f t="shared" si="131"/>
        <v>1.2220466511301766</v>
      </c>
      <c r="K286" s="121">
        <f t="shared" si="119"/>
        <v>9692194.6457908582</v>
      </c>
      <c r="L286" s="121">
        <f t="shared" si="120"/>
        <v>1445.4142356619759</v>
      </c>
      <c r="M286" s="121">
        <f t="shared" si="113"/>
        <v>0.90995769999999998</v>
      </c>
      <c r="N286" s="121">
        <f t="shared" si="121"/>
        <v>17.663681407277611</v>
      </c>
      <c r="O286" s="122">
        <f t="shared" si="132"/>
        <v>1.9464970646147552</v>
      </c>
      <c r="P286" s="122">
        <f t="shared" si="133"/>
        <v>14.901799737376228</v>
      </c>
      <c r="Q286" s="123">
        <f t="shared" si="122"/>
        <v>8301505.3935690057</v>
      </c>
      <c r="R286" s="123">
        <f t="shared" si="123"/>
        <v>1185.3366269837152</v>
      </c>
      <c r="S286" s="123">
        <f t="shared" si="124"/>
        <v>15.313355821674515</v>
      </c>
      <c r="T286" s="124">
        <f t="shared" si="134"/>
        <v>1.032216449965438</v>
      </c>
      <c r="U286">
        <f t="shared" si="125"/>
        <v>5.3637845751768375E-3</v>
      </c>
      <c r="V286" s="123">
        <f t="shared" si="126"/>
        <v>1431.2771758955159</v>
      </c>
      <c r="Y286" s="130">
        <f t="shared" si="127"/>
        <v>1509.1694774463556</v>
      </c>
      <c r="Z286" s="131">
        <f t="shared" si="128"/>
        <v>1369.7515401004923</v>
      </c>
    </row>
    <row r="287" spans="1:41">
      <c r="A287">
        <v>130</v>
      </c>
      <c r="B287">
        <v>156.69999999999999</v>
      </c>
      <c r="C287">
        <f t="shared" si="129"/>
        <v>0.99969999999999992</v>
      </c>
      <c r="D287">
        <f t="shared" si="130"/>
        <v>1506.6704999999999</v>
      </c>
      <c r="E287">
        <f t="shared" si="114"/>
        <v>10.228353376879554</v>
      </c>
      <c r="F287">
        <f t="shared" si="115"/>
        <v>212497.59503955825</v>
      </c>
      <c r="G287" s="120">
        <f t="shared" si="116"/>
        <v>7355261.3781051263</v>
      </c>
      <c r="H287" s="120">
        <f t="shared" si="117"/>
        <v>1050.2264573664654</v>
      </c>
      <c r="I287" s="120">
        <f t="shared" si="118"/>
        <v>13.537211485602604</v>
      </c>
      <c r="J287" s="120">
        <f t="shared" si="131"/>
        <v>1.3420162286117716</v>
      </c>
      <c r="K287" s="121">
        <f t="shared" si="119"/>
        <v>10366918.751850594</v>
      </c>
      <c r="L287" s="121">
        <f t="shared" si="120"/>
        <v>1546.0370509533172</v>
      </c>
      <c r="M287" s="121">
        <f t="shared" si="113"/>
        <v>0.99969999999999992</v>
      </c>
      <c r="N287" s="121">
        <f t="shared" si="121"/>
        <v>18.096856690844106</v>
      </c>
      <c r="O287" s="122">
        <f t="shared" si="132"/>
        <v>1.6240535422067379</v>
      </c>
      <c r="P287" s="122">
        <f t="shared" si="133"/>
        <v>16.525853279582964</v>
      </c>
      <c r="Q287" s="123">
        <f t="shared" si="122"/>
        <v>8833831.7733229939</v>
      </c>
      <c r="R287" s="123">
        <f t="shared" si="123"/>
        <v>1261.3452529669812</v>
      </c>
      <c r="S287" s="123">
        <f t="shared" si="124"/>
        <v>15.608350207753016</v>
      </c>
      <c r="T287" s="124">
        <f t="shared" si="134"/>
        <v>1.1362667512842817</v>
      </c>
      <c r="U287">
        <f t="shared" si="125"/>
        <v>5.7077323158957801E-3</v>
      </c>
      <c r="V287" s="123">
        <f t="shared" si="126"/>
        <v>1248.323158471042</v>
      </c>
      <c r="Y287" s="130">
        <f t="shared" si="127"/>
        <v>1316.3922311299916</v>
      </c>
      <c r="Z287" s="131">
        <f t="shared" si="128"/>
        <v>1194.8082161764369</v>
      </c>
    </row>
    <row r="288" spans="1:41">
      <c r="A288">
        <v>139.517</v>
      </c>
      <c r="B288">
        <v>166.4</v>
      </c>
      <c r="C288">
        <f t="shared" si="129"/>
        <v>1.0728857299999999</v>
      </c>
      <c r="D288">
        <f t="shared" si="130"/>
        <v>1599.9360000000001</v>
      </c>
      <c r="E288">
        <f t="shared" si="114"/>
        <v>10.810096169172736</v>
      </c>
      <c r="F288">
        <f t="shared" si="115"/>
        <v>220155.36471825794</v>
      </c>
      <c r="G288" s="120">
        <f t="shared" si="116"/>
        <v>7780424.1788504478</v>
      </c>
      <c r="H288" s="120">
        <f t="shared" si="117"/>
        <v>1110.9336504211917</v>
      </c>
      <c r="I288" s="120">
        <f t="shared" si="118"/>
        <v>13.821625597147895</v>
      </c>
      <c r="J288" s="120">
        <f t="shared" si="131"/>
        <v>1.4397667340990836</v>
      </c>
      <c r="K288" s="121">
        <f t="shared" si="119"/>
        <v>10956542.520209054</v>
      </c>
      <c r="L288" s="121">
        <f t="shared" si="120"/>
        <v>1633.9687003520505</v>
      </c>
      <c r="M288" s="121">
        <f t="shared" si="113"/>
        <v>1.0728857299999999</v>
      </c>
      <c r="N288" s="121">
        <f t="shared" si="121"/>
        <v>18.460851436169008</v>
      </c>
      <c r="O288" s="122">
        <f t="shared" si="132"/>
        <v>1.3510708887775764</v>
      </c>
      <c r="P288" s="122">
        <f t="shared" si="133"/>
        <v>17.876924168360542</v>
      </c>
      <c r="Q288" s="123">
        <f t="shared" si="122"/>
        <v>9296846.0106960777</v>
      </c>
      <c r="R288" s="123">
        <f t="shared" si="123"/>
        <v>1327.4570921166437</v>
      </c>
      <c r="S288" s="123">
        <f t="shared" si="124"/>
        <v>15.855073525463391</v>
      </c>
      <c r="T288" s="124">
        <f t="shared" si="134"/>
        <v>1.2214805402085489</v>
      </c>
      <c r="U288">
        <f t="shared" si="125"/>
        <v>6.0068959623391016E-3</v>
      </c>
      <c r="V288" s="123">
        <f t="shared" si="126"/>
        <v>1081.720223141062</v>
      </c>
      <c r="Y288" s="130">
        <f t="shared" si="127"/>
        <v>1141.1966659841573</v>
      </c>
      <c r="Z288" s="131">
        <f t="shared" si="128"/>
        <v>1035.8864063041738</v>
      </c>
    </row>
    <row r="289" spans="1:41">
      <c r="A289">
        <v>156</v>
      </c>
      <c r="B289">
        <v>183.05</v>
      </c>
      <c r="C289">
        <f t="shared" si="129"/>
        <v>1.19964</v>
      </c>
      <c r="D289">
        <f t="shared" si="130"/>
        <v>1760.0257500000002</v>
      </c>
      <c r="E289">
        <f t="shared" si="114"/>
        <v>11.808654673469801</v>
      </c>
      <c r="F289">
        <f t="shared" si="115"/>
        <v>232962.82619320898</v>
      </c>
      <c r="G289" s="120">
        <f t="shared" si="116"/>
        <v>8511051.1606369186</v>
      </c>
      <c r="H289" s="120">
        <f t="shared" si="117"/>
        <v>1215.2567783066729</v>
      </c>
      <c r="I289" s="120">
        <f t="shared" si="118"/>
        <v>14.288337410382306</v>
      </c>
      <c r="J289" s="120">
        <f t="shared" si="131"/>
        <v>1.6088287876250424</v>
      </c>
      <c r="K289" s="121">
        <f t="shared" si="119"/>
        <v>11968628.679298628</v>
      </c>
      <c r="L289" s="121">
        <f t="shared" si="120"/>
        <v>1784.9029232890587</v>
      </c>
      <c r="M289" s="121">
        <f t="shared" si="113"/>
        <v>1.19964</v>
      </c>
      <c r="N289" s="121">
        <f t="shared" si="121"/>
        <v>19.057469733138063</v>
      </c>
      <c r="O289" s="122">
        <f t="shared" si="132"/>
        <v>2.4156156640710131</v>
      </c>
      <c r="P289" s="122">
        <f t="shared" si="133"/>
        <v>20.292539832431554</v>
      </c>
      <c r="Q289" s="123">
        <f t="shared" si="122"/>
        <v>10087230.251362083</v>
      </c>
      <c r="R289" s="123">
        <f t="shared" si="123"/>
        <v>1440.3127055461603</v>
      </c>
      <c r="S289" s="123">
        <f t="shared" si="124"/>
        <v>16.257254460125861</v>
      </c>
      <c r="T289" s="124">
        <f t="shared" si="134"/>
        <v>1.3700674784271631</v>
      </c>
      <c r="U289">
        <f t="shared" si="125"/>
        <v>6.5175805427323619E-3</v>
      </c>
      <c r="V289" s="123">
        <f t="shared" si="126"/>
        <v>2016.5861461902309</v>
      </c>
      <c r="Y289" s="130">
        <f t="shared" si="127"/>
        <v>2124.9639747229603</v>
      </c>
      <c r="Z289" s="131">
        <f t="shared" si="128"/>
        <v>1928.4020476462067</v>
      </c>
    </row>
    <row r="290" spans="1:41">
      <c r="A290">
        <v>160.29</v>
      </c>
      <c r="B290">
        <v>187.2</v>
      </c>
      <c r="C290">
        <f t="shared" si="129"/>
        <v>1.2326301</v>
      </c>
      <c r="D290">
        <f t="shared" si="130"/>
        <v>1799.9279999999999</v>
      </c>
      <c r="E290">
        <f t="shared" si="114"/>
        <v>12.057544630997294</v>
      </c>
      <c r="F290">
        <f t="shared" si="115"/>
        <v>236093.50404984836</v>
      </c>
      <c r="G290" s="120">
        <f t="shared" si="116"/>
        <v>8693315.5064486302</v>
      </c>
      <c r="H290" s="120">
        <f t="shared" si="117"/>
        <v>1241.2815311984787</v>
      </c>
      <c r="I290" s="120">
        <f t="shared" si="118"/>
        <v>14.400796929838135</v>
      </c>
      <c r="J290" s="120">
        <f t="shared" si="131"/>
        <v>1.6528156909156728</v>
      </c>
      <c r="K290" s="121">
        <f t="shared" si="119"/>
        <v>12220890.394627267</v>
      </c>
      <c r="L290" s="121">
        <f t="shared" si="120"/>
        <v>1822.5231650421274</v>
      </c>
      <c r="M290" s="121">
        <f t="shared" si="113"/>
        <v>1.2326301</v>
      </c>
      <c r="N290" s="121">
        <f t="shared" si="121"/>
        <v>19.201107661413509</v>
      </c>
      <c r="O290" s="122">
        <f t="shared" si="132"/>
        <v>0.63344646186079612</v>
      </c>
      <c r="P290" s="122">
        <f t="shared" si="133"/>
        <v>20.92598629429235</v>
      </c>
      <c r="Q290" s="123">
        <f t="shared" si="122"/>
        <v>10283420.79714898</v>
      </c>
      <c r="R290" s="123">
        <f t="shared" si="123"/>
        <v>1468.3259214665525</v>
      </c>
      <c r="S290" s="123">
        <f t="shared" si="124"/>
        <v>16.353678857369413</v>
      </c>
      <c r="T290" s="124">
        <f t="shared" si="134"/>
        <v>1.4088016658467326</v>
      </c>
      <c r="U290">
        <f t="shared" si="125"/>
        <v>6.6443435541859832E-3</v>
      </c>
      <c r="V290" s="123">
        <f t="shared" si="126"/>
        <v>552.44671633909797</v>
      </c>
      <c r="Y290" s="130">
        <f t="shared" si="127"/>
        <v>583.56233495949459</v>
      </c>
      <c r="Z290" s="131">
        <f t="shared" si="128"/>
        <v>529.85020824034029</v>
      </c>
    </row>
    <row r="291" spans="1:41">
      <c r="A291">
        <v>182</v>
      </c>
      <c r="B291">
        <v>208</v>
      </c>
      <c r="C291">
        <f t="shared" si="129"/>
        <v>1.39958</v>
      </c>
      <c r="D291">
        <f t="shared" si="130"/>
        <v>1999.92</v>
      </c>
      <c r="E291">
        <f t="shared" si="114"/>
        <v>13.304993092821853</v>
      </c>
      <c r="F291">
        <f t="shared" si="115"/>
        <v>251447.73858601437</v>
      </c>
      <c r="G291" s="120">
        <f t="shared" si="116"/>
        <v>9607709.874768354</v>
      </c>
      <c r="H291" s="120">
        <f t="shared" si="117"/>
        <v>1371.8440247854742</v>
      </c>
      <c r="I291" s="120">
        <f t="shared" si="118"/>
        <v>14.943670000465502</v>
      </c>
      <c r="J291" s="120">
        <f t="shared" si="131"/>
        <v>1.8750684988720758</v>
      </c>
      <c r="K291" s="121">
        <f t="shared" si="119"/>
        <v>13485238.269045547</v>
      </c>
      <c r="L291" s="121">
        <f t="shared" si="120"/>
        <v>2011.0776297322143</v>
      </c>
      <c r="M291" s="121">
        <f t="shared" si="113"/>
        <v>1.39958</v>
      </c>
      <c r="N291" s="121">
        <f t="shared" si="121"/>
        <v>19.893828141120892</v>
      </c>
      <c r="O291" s="122">
        <f t="shared" si="132"/>
        <v>3.3212726187773205</v>
      </c>
      <c r="P291" s="122">
        <f t="shared" si="133"/>
        <v>24.247258913069672</v>
      </c>
      <c r="Q291" s="123">
        <f t="shared" si="122"/>
        <v>11262205.83631219</v>
      </c>
      <c r="R291" s="123">
        <f t="shared" si="123"/>
        <v>1608.0824858400003</v>
      </c>
      <c r="S291" s="123">
        <f t="shared" si="124"/>
        <v>16.816577845167185</v>
      </c>
      <c r="T291" s="124">
        <f t="shared" si="134"/>
        <v>1.6063015763134629</v>
      </c>
      <c r="U291">
        <f t="shared" si="125"/>
        <v>7.2767580195845774E-3</v>
      </c>
      <c r="V291" s="123">
        <f t="shared" si="126"/>
        <v>2979.3194528579966</v>
      </c>
      <c r="Y291" s="130">
        <f t="shared" si="127"/>
        <v>3138.3344871473828</v>
      </c>
      <c r="Z291" s="131">
        <f t="shared" si="128"/>
        <v>2847.8277232876048</v>
      </c>
    </row>
    <row r="292" spans="1:41">
      <c r="A292">
        <v>199.05</v>
      </c>
      <c r="B292">
        <v>228.8</v>
      </c>
      <c r="C292">
        <f t="shared" si="129"/>
        <v>1.5306945000000001</v>
      </c>
      <c r="D292">
        <f t="shared" si="130"/>
        <v>2199.9120000000003</v>
      </c>
      <c r="E292">
        <f t="shared" si="114"/>
        <v>14.552441554646412</v>
      </c>
      <c r="F292">
        <f t="shared" si="115"/>
        <v>266291.50288304343</v>
      </c>
      <c r="G292" s="120">
        <f t="shared" si="116"/>
        <v>10523468.064834367</v>
      </c>
      <c r="H292" s="120">
        <f t="shared" si="117"/>
        <v>1502.6012526951788</v>
      </c>
      <c r="I292" s="120">
        <f t="shared" si="118"/>
        <v>15.455629601873575</v>
      </c>
      <c r="J292" s="120">
        <f t="shared" si="131"/>
        <v>2.0493671473052788</v>
      </c>
      <c r="K292" s="121">
        <f t="shared" si="119"/>
        <v>14749586.14346372</v>
      </c>
      <c r="L292" s="121">
        <f t="shared" si="120"/>
        <v>2199.6320944222857</v>
      </c>
      <c r="M292" s="121">
        <f t="shared" si="113"/>
        <v>1.5306945000000001</v>
      </c>
      <c r="N292" s="121">
        <f t="shared" si="121"/>
        <v>20.54612838618738</v>
      </c>
      <c r="O292" s="122">
        <f t="shared" si="132"/>
        <v>2.6938953502907657</v>
      </c>
      <c r="P292" s="122">
        <f t="shared" si="133"/>
        <v>26.941154263360438</v>
      </c>
      <c r="Q292" s="123">
        <f t="shared" si="122"/>
        <v>12233986.943377608</v>
      </c>
      <c r="R292" s="123">
        <f t="shared" si="123"/>
        <v>1746.8389884553239</v>
      </c>
      <c r="S292" s="123">
        <f t="shared" si="124"/>
        <v>17.249344643021551</v>
      </c>
      <c r="T292" s="124">
        <f t="shared" si="134"/>
        <v>1.7624753560159061</v>
      </c>
      <c r="U292">
        <f t="shared" si="125"/>
        <v>7.9046470909527305E-3</v>
      </c>
      <c r="V292" s="123">
        <f t="shared" si="126"/>
        <v>2569.1925871887697</v>
      </c>
      <c r="Y292" s="130">
        <f t="shared" si="127"/>
        <v>2707.1492884759582</v>
      </c>
      <c r="Z292" s="131">
        <f t="shared" si="128"/>
        <v>2456.711983358407</v>
      </c>
    </row>
    <row r="293" spans="1:41">
      <c r="A293">
        <v>208</v>
      </c>
      <c r="B293">
        <v>241.18</v>
      </c>
      <c r="C293">
        <f t="shared" si="129"/>
        <v>1.5995200000000001</v>
      </c>
      <c r="D293">
        <f t="shared" si="130"/>
        <v>2318.9457000000002</v>
      </c>
      <c r="E293">
        <f t="shared" si="114"/>
        <v>15.294913283366991</v>
      </c>
      <c r="F293">
        <f t="shared" si="115"/>
        <v>274908.67720030993</v>
      </c>
      <c r="G293" s="120">
        <f t="shared" si="116"/>
        <v>11069119.523640854</v>
      </c>
      <c r="H293" s="120">
        <f t="shared" si="117"/>
        <v>1580.5125102000447</v>
      </c>
      <c r="I293" s="120">
        <f t="shared" si="118"/>
        <v>15.74743235024339</v>
      </c>
      <c r="J293" s="120">
        <f t="shared" si="131"/>
        <v>2.1407889198130445</v>
      </c>
      <c r="K293" s="121">
        <f t="shared" si="119"/>
        <v>15502116.272564605</v>
      </c>
      <c r="L293" s="121">
        <f t="shared" si="120"/>
        <v>2311.8582613868675</v>
      </c>
      <c r="M293" s="121">
        <f t="shared" si="113"/>
        <v>1.5995200000000001</v>
      </c>
      <c r="N293" s="121">
        <f t="shared" si="121"/>
        <v>20.91751135706069</v>
      </c>
      <c r="O293" s="122">
        <f t="shared" si="132"/>
        <v>1.4396581779053801</v>
      </c>
      <c r="P293" s="122">
        <f t="shared" si="133"/>
        <v>28.380812441265817</v>
      </c>
      <c r="Q293" s="123">
        <f t="shared" si="122"/>
        <v>12809328.597691402</v>
      </c>
      <c r="R293" s="123">
        <f t="shared" si="123"/>
        <v>1828.9895830502051</v>
      </c>
      <c r="S293" s="123">
        <f t="shared" si="124"/>
        <v>17.494430695136632</v>
      </c>
      <c r="T293" s="124">
        <f t="shared" si="134"/>
        <v>1.8447677268276981</v>
      </c>
      <c r="U293">
        <f t="shared" si="125"/>
        <v>8.276387943311354E-3</v>
      </c>
      <c r="V293" s="123">
        <f t="shared" si="126"/>
        <v>1442.9206346897736</v>
      </c>
      <c r="Y293" s="130">
        <f t="shared" si="127"/>
        <v>1522.5641089985331</v>
      </c>
      <c r="Z293" s="131">
        <f t="shared" si="128"/>
        <v>1382.118775767811</v>
      </c>
    </row>
    <row r="294" spans="1:41">
      <c r="A294">
        <v>220.084</v>
      </c>
      <c r="B294">
        <v>258.88</v>
      </c>
      <c r="C294">
        <f t="shared" si="129"/>
        <v>1.6924459599999999</v>
      </c>
      <c r="D294">
        <f t="shared" si="130"/>
        <v>2489.1311999999998</v>
      </c>
      <c r="E294">
        <f t="shared" si="114"/>
        <v>16.356443945592691</v>
      </c>
      <c r="F294">
        <f t="shared" si="115"/>
        <v>286971.81552088883</v>
      </c>
      <c r="G294" s="120">
        <f t="shared" si="116"/>
        <v>11849977.259773513</v>
      </c>
      <c r="H294" s="120">
        <f t="shared" si="117"/>
        <v>1692.0078744524722</v>
      </c>
      <c r="I294" s="120">
        <f t="shared" si="118"/>
        <v>16.149660393883664</v>
      </c>
      <c r="J294" s="120">
        <f t="shared" si="131"/>
        <v>2.2640922337988165</v>
      </c>
      <c r="K294" s="121">
        <f t="shared" si="119"/>
        <v>16578027.684930105</v>
      </c>
      <c r="L294" s="121">
        <f t="shared" si="120"/>
        <v>2472.3108587433267</v>
      </c>
      <c r="M294" s="121">
        <f t="shared" si="113"/>
        <v>1.6924459599999999</v>
      </c>
      <c r="N294" s="121">
        <f t="shared" si="121"/>
        <v>21.428959639595075</v>
      </c>
      <c r="O294" s="122">
        <f t="shared" si="132"/>
        <v>1.9913066463106235</v>
      </c>
      <c r="P294" s="122">
        <f t="shared" si="133"/>
        <v>30.37211908757644</v>
      </c>
      <c r="Q294" s="123">
        <f t="shared" si="122"/>
        <v>13628231.241758311</v>
      </c>
      <c r="R294" s="123">
        <f t="shared" si="123"/>
        <v>1945.9172183448429</v>
      </c>
      <c r="S294" s="123">
        <f t="shared" si="124"/>
        <v>17.830443445721844</v>
      </c>
      <c r="T294" s="124">
        <f t="shared" si="134"/>
        <v>1.9564478795043501</v>
      </c>
      <c r="U294">
        <f t="shared" si="125"/>
        <v>8.8054988891670682E-3</v>
      </c>
      <c r="V294" s="123">
        <f t="shared" si="126"/>
        <v>2067.2281603953816</v>
      </c>
      <c r="Y294" s="130">
        <f t="shared" si="127"/>
        <v>2179.9661979022362</v>
      </c>
      <c r="Z294" s="131">
        <f t="shared" si="128"/>
        <v>1978.6240758466759</v>
      </c>
    </row>
    <row r="295" spans="1:41">
      <c r="A295">
        <v>234</v>
      </c>
      <c r="B295">
        <v>281.24</v>
      </c>
      <c r="C295">
        <f t="shared" si="129"/>
        <v>1.7994600000000001</v>
      </c>
      <c r="D295">
        <f t="shared" si="130"/>
        <v>2704.1226000000001</v>
      </c>
      <c r="E295">
        <f t="shared" si="114"/>
        <v>17.697451042054094</v>
      </c>
      <c r="F295">
        <f t="shared" si="115"/>
        <v>301815.27543488558</v>
      </c>
      <c r="G295" s="120">
        <f t="shared" si="116"/>
        <v>12837561.895150622</v>
      </c>
      <c r="H295" s="120">
        <f t="shared" si="117"/>
        <v>1833.0208958471469</v>
      </c>
      <c r="I295" s="120">
        <f t="shared" si="118"/>
        <v>16.635139859898526</v>
      </c>
      <c r="J295" s="120">
        <f t="shared" si="131"/>
        <v>2.4059115049155211</v>
      </c>
      <c r="K295" s="121">
        <f t="shared" si="119"/>
        <v>17937201.649929665</v>
      </c>
      <c r="L295" s="121">
        <f t="shared" si="120"/>
        <v>2675.0069082851574</v>
      </c>
      <c r="M295" s="121">
        <f t="shared" si="113"/>
        <v>1.7994600000000001</v>
      </c>
      <c r="N295" s="121">
        <f t="shared" si="121"/>
        <v>22.045550376896784</v>
      </c>
      <c r="O295" s="122">
        <f t="shared" si="132"/>
        <v>2.3591834098552509</v>
      </c>
      <c r="P295" s="122">
        <f t="shared" si="133"/>
        <v>32.731302497431692</v>
      </c>
      <c r="Q295" s="123">
        <f t="shared" si="122"/>
        <v>14656965.64834662</v>
      </c>
      <c r="R295" s="123">
        <f t="shared" si="123"/>
        <v>2092.8058410402355</v>
      </c>
      <c r="S295" s="123">
        <f t="shared" si="124"/>
        <v>18.233277809515222</v>
      </c>
      <c r="T295" s="124">
        <f t="shared" si="134"/>
        <v>2.0858367603463943</v>
      </c>
      <c r="U295">
        <f t="shared" si="125"/>
        <v>9.4701867355770301E-3</v>
      </c>
      <c r="V295" s="123">
        <f t="shared" si="126"/>
        <v>2562.4016782538793</v>
      </c>
      <c r="Y295" s="130">
        <f t="shared" si="127"/>
        <v>2701.0207435690854</v>
      </c>
      <c r="Z295" s="131">
        <f t="shared" si="128"/>
        <v>2451.343062797639</v>
      </c>
    </row>
    <row r="296" spans="1:41">
      <c r="A296">
        <v>245.65</v>
      </c>
      <c r="B296">
        <v>302.87</v>
      </c>
      <c r="C296">
        <f t="shared" si="129"/>
        <v>1.8890484999999999</v>
      </c>
      <c r="D296">
        <f t="shared" si="130"/>
        <v>2912.0950499999999</v>
      </c>
      <c r="E296">
        <f t="shared" si="114"/>
        <v>18.994677495384149</v>
      </c>
      <c r="F296">
        <f t="shared" si="115"/>
        <v>315793.20969788538</v>
      </c>
      <c r="G296" s="120">
        <f t="shared" si="116"/>
        <v>13794037.214325631</v>
      </c>
      <c r="H296" s="120">
        <f t="shared" si="117"/>
        <v>1969.5919499267818</v>
      </c>
      <c r="I296" s="120">
        <f t="shared" si="118"/>
        <v>17.083377128976746</v>
      </c>
      <c r="J296" s="120">
        <f t="shared" si="131"/>
        <v>2.5245045214961883</v>
      </c>
      <c r="K296" s="121">
        <f t="shared" si="119"/>
        <v>19252001.867413603</v>
      </c>
      <c r="L296" s="121">
        <f t="shared" si="120"/>
        <v>2871.0854213258481</v>
      </c>
      <c r="M296" s="121">
        <f t="shared" si="113"/>
        <v>1.8890484999999999</v>
      </c>
      <c r="N296" s="121">
        <f t="shared" si="121"/>
        <v>22.614166183277273</v>
      </c>
      <c r="O296" s="122">
        <f t="shared" si="132"/>
        <v>2.0259692271105325</v>
      </c>
      <c r="P296" s="122">
        <f t="shared" si="133"/>
        <v>34.757271724542221</v>
      </c>
      <c r="Q296" s="123">
        <f t="shared" si="122"/>
        <v>15646447.429037079</v>
      </c>
      <c r="R296" s="123">
        <f t="shared" si="123"/>
        <v>2234.0897477677486</v>
      </c>
      <c r="S296" s="123">
        <f t="shared" si="124"/>
        <v>18.602651641152097</v>
      </c>
      <c r="T296" s="124">
        <f t="shared" si="134"/>
        <v>2.1947443110650648</v>
      </c>
      <c r="U296">
        <f t="shared" si="125"/>
        <v>1.0109512600112095E-2</v>
      </c>
      <c r="V296" s="123">
        <f t="shared" si="126"/>
        <v>2310.6841544860108</v>
      </c>
      <c r="Y296" s="130">
        <f t="shared" si="127"/>
        <v>2436.3828854139879</v>
      </c>
      <c r="Z296" s="131">
        <f t="shared" si="128"/>
        <v>2211.2986801656966</v>
      </c>
    </row>
    <row r="297" spans="1:41">
      <c r="A297">
        <v>260</v>
      </c>
      <c r="B297">
        <v>337.36</v>
      </c>
      <c r="C297">
        <f t="shared" si="129"/>
        <v>1.9993999999999998</v>
      </c>
      <c r="D297">
        <f t="shared" si="130"/>
        <v>3243.7164000000002</v>
      </c>
      <c r="E297">
        <f t="shared" si="114"/>
        <v>21.06316294963074</v>
      </c>
      <c r="F297">
        <f t="shared" si="115"/>
        <v>337390.96775044757</v>
      </c>
      <c r="G297" s="120">
        <f t="shared" si="116"/>
        <v>15321300.224845903</v>
      </c>
      <c r="H297" s="120">
        <f t="shared" si="117"/>
        <v>2187.6633575439669</v>
      </c>
      <c r="I297" s="120">
        <f t="shared" si="118"/>
        <v>17.760177146749509</v>
      </c>
      <c r="J297" s="120">
        <f t="shared" si="131"/>
        <v>2.6703431346356687</v>
      </c>
      <c r="K297" s="121">
        <f t="shared" si="119"/>
        <v>21348509.472638831</v>
      </c>
      <c r="L297" s="121">
        <f t="shared" si="120"/>
        <v>3183.7413582085806</v>
      </c>
      <c r="M297" s="121">
        <f t="shared" si="113"/>
        <v>1.9993999999999998</v>
      </c>
      <c r="N297" s="121">
        <f t="shared" si="121"/>
        <v>23.471539618341769</v>
      </c>
      <c r="O297" s="122">
        <f t="shared" si="132"/>
        <v>2.5901196041934402</v>
      </c>
      <c r="P297" s="122">
        <f t="shared" si="133"/>
        <v>37.347391328735661</v>
      </c>
      <c r="Q297" s="123">
        <f t="shared" si="122"/>
        <v>17213696.268404502</v>
      </c>
      <c r="R297" s="123">
        <f t="shared" si="123"/>
        <v>2457.8705622921748</v>
      </c>
      <c r="S297" s="123">
        <f t="shared" si="124"/>
        <v>19.15590079621494</v>
      </c>
      <c r="T297" s="124">
        <f t="shared" si="134"/>
        <v>2.3299569346711149</v>
      </c>
      <c r="U297">
        <f t="shared" si="125"/>
        <v>1.1122146423921331E-2</v>
      </c>
      <c r="V297" s="123">
        <f t="shared" si="126"/>
        <v>3110.8405334772506</v>
      </c>
      <c r="Y297" s="130">
        <f t="shared" si="127"/>
        <v>3276.3187223335531</v>
      </c>
      <c r="Z297" s="131">
        <f t="shared" si="128"/>
        <v>2972.9349169103425</v>
      </c>
    </row>
    <row r="298" spans="1:41">
      <c r="A298">
        <v>273.40199999999999</v>
      </c>
      <c r="B298">
        <v>410.71</v>
      </c>
      <c r="C298">
        <f t="shared" si="129"/>
        <v>2.1024613799999998</v>
      </c>
      <c r="D298">
        <f t="shared" si="130"/>
        <v>3948.9766500000001</v>
      </c>
      <c r="E298">
        <f t="shared" si="114"/>
        <v>25.462217982074552</v>
      </c>
      <c r="F298">
        <f t="shared" si="115"/>
        <v>380935.93604804686</v>
      </c>
      <c r="G298" s="120">
        <f t="shared" si="116"/>
        <v>18577008.050584164</v>
      </c>
      <c r="H298" s="120">
        <f t="shared" si="117"/>
        <v>2652.5320693889353</v>
      </c>
      <c r="I298" s="120">
        <f t="shared" si="118"/>
        <v>19.072558141967281</v>
      </c>
      <c r="J298" s="120">
        <f t="shared" si="131"/>
        <v>2.8061378083652144</v>
      </c>
      <c r="K298" s="121">
        <f t="shared" si="119"/>
        <v>25807159.308628149</v>
      </c>
      <c r="L298" s="121">
        <f t="shared" si="120"/>
        <v>3848.6677997959564</v>
      </c>
      <c r="M298" s="121">
        <f t="shared" si="113"/>
        <v>2.1024613799999998</v>
      </c>
      <c r="N298" s="121">
        <f t="shared" si="121"/>
        <v>25.130187564694303</v>
      </c>
      <c r="O298" s="122">
        <f t="shared" si="132"/>
        <v>2.5899518100762338</v>
      </c>
      <c r="P298" s="122">
        <f t="shared" si="133"/>
        <v>39.937343138811897</v>
      </c>
      <c r="Q298" s="123">
        <f t="shared" si="122"/>
        <v>20509118.582606483</v>
      </c>
      <c r="R298" s="123">
        <f t="shared" si="123"/>
        <v>2928.4099375018823</v>
      </c>
      <c r="S298" s="123">
        <f t="shared" si="124"/>
        <v>20.214218111949549</v>
      </c>
      <c r="T298" s="124">
        <f t="shared" si="134"/>
        <v>2.4580821876852395</v>
      </c>
      <c r="U298">
        <f t="shared" si="125"/>
        <v>1.3251391005428595E-2</v>
      </c>
      <c r="V298" s="123">
        <f t="shared" si="126"/>
        <v>3383.9963189531231</v>
      </c>
      <c r="Y298" s="130">
        <f t="shared" si="127"/>
        <v>3553.9086777619891</v>
      </c>
      <c r="Z298" s="131">
        <f t="shared" si="128"/>
        <v>3222.9369727149601</v>
      </c>
    </row>
    <row r="299" spans="1:41" ht="15.75" thickBot="1">
      <c r="A299">
        <v>323.96100000000001</v>
      </c>
      <c r="B299">
        <v>426.46</v>
      </c>
      <c r="C299">
        <f t="shared" si="129"/>
        <v>2.4912600899999999</v>
      </c>
      <c r="D299">
        <f t="shared" si="130"/>
        <v>4100.4129000000003</v>
      </c>
      <c r="E299">
        <f t="shared" si="114"/>
        <v>26.406800351004204</v>
      </c>
      <c r="F299">
        <f t="shared" si="115"/>
        <v>389920.84803212457</v>
      </c>
      <c r="G299" s="120">
        <f t="shared" si="116"/>
        <v>19277309.648442719</v>
      </c>
      <c r="H299" s="120">
        <f t="shared" si="117"/>
        <v>2752.5251643238771</v>
      </c>
      <c r="I299" s="120">
        <f t="shared" si="118"/>
        <v>19.335485863294473</v>
      </c>
      <c r="J299" s="120">
        <f t="shared" si="131"/>
        <v>3.3181266475193629</v>
      </c>
      <c r="K299" s="121">
        <f t="shared" si="119"/>
        <v>26764538.107767016</v>
      </c>
      <c r="L299" s="121">
        <f t="shared" si="120"/>
        <v>3991.4434160877331</v>
      </c>
      <c r="M299" s="121">
        <f t="shared" si="113"/>
        <v>2.4912600899999999</v>
      </c>
      <c r="N299" s="121">
        <f t="shared" si="121"/>
        <v>25.461897652977246</v>
      </c>
      <c r="O299" s="122">
        <f t="shared" si="132"/>
        <v>9.899552961629583</v>
      </c>
      <c r="P299" s="122">
        <f t="shared" si="133"/>
        <v>49.836896100441479</v>
      </c>
      <c r="Q299" s="123">
        <f t="shared" si="122"/>
        <v>21210782.064767268</v>
      </c>
      <c r="R299" s="123">
        <f t="shared" si="123"/>
        <v>3028.5974901201148</v>
      </c>
      <c r="S299" s="123">
        <f t="shared" si="124"/>
        <v>20.424062035272815</v>
      </c>
      <c r="T299" s="124">
        <f t="shared" si="134"/>
        <v>2.9427826818637643</v>
      </c>
      <c r="U299">
        <f t="shared" si="125"/>
        <v>1.3704751159298331E-2</v>
      </c>
      <c r="V299" s="123">
        <f t="shared" si="126"/>
        <v>14158.191551122252</v>
      </c>
      <c r="Y299" s="130">
        <f t="shared" si="127"/>
        <v>14946.971910205817</v>
      </c>
      <c r="Z299" s="131">
        <f t="shared" si="128"/>
        <v>13569.597646812019</v>
      </c>
    </row>
    <row r="300" spans="1:41" ht="15.75" thickBot="1">
      <c r="A300">
        <v>372.88600000000002</v>
      </c>
      <c r="B300">
        <v>440.97</v>
      </c>
      <c r="C300">
        <f t="shared" si="129"/>
        <v>2.8674933400000002</v>
      </c>
      <c r="D300">
        <f t="shared" si="130"/>
        <v>4239.9265500000001</v>
      </c>
      <c r="E300">
        <f t="shared" si="114"/>
        <v>27.277015600094316</v>
      </c>
      <c r="F300">
        <f t="shared" si="115"/>
        <v>398096.48340726865</v>
      </c>
      <c r="G300" s="120">
        <f t="shared" si="116"/>
        <v>19922828.780491497</v>
      </c>
      <c r="H300" s="120">
        <f t="shared" si="117"/>
        <v>2844.6961033173825</v>
      </c>
      <c r="I300" s="120">
        <f t="shared" si="118"/>
        <v>19.572566793428042</v>
      </c>
      <c r="J300" s="120">
        <f t="shared" si="131"/>
        <v>3.8133137717040224</v>
      </c>
      <c r="K300" s="121">
        <f t="shared" si="119"/>
        <v>27646542.322084606</v>
      </c>
      <c r="L300" s="121">
        <f t="shared" si="120"/>
        <v>4122.9782854460345</v>
      </c>
      <c r="M300" s="121">
        <f t="shared" si="113"/>
        <v>2.8674933400000002</v>
      </c>
      <c r="N300" s="121">
        <f t="shared" si="121"/>
        <v>25.760836032832774</v>
      </c>
      <c r="O300" s="122">
        <f t="shared" si="132"/>
        <v>9.6920830633497896</v>
      </c>
      <c r="P300" s="122">
        <f t="shared" si="133"/>
        <v>59.52897916379127</v>
      </c>
      <c r="Q300" s="123">
        <f t="shared" si="122"/>
        <v>21855504.935357582</v>
      </c>
      <c r="R300" s="123">
        <f t="shared" si="123"/>
        <v>3120.6547343171878</v>
      </c>
      <c r="S300" s="123">
        <f t="shared" si="124"/>
        <v>20.612677046369249</v>
      </c>
      <c r="T300" s="124">
        <f t="shared" si="134"/>
        <v>3.4129827942289346</v>
      </c>
      <c r="U300">
        <f t="shared" si="125"/>
        <v>1.4121320736090393E-2</v>
      </c>
      <c r="V300" s="123">
        <f t="shared" si="126"/>
        <v>14177.877352575868</v>
      </c>
      <c r="Y300" s="130">
        <f t="shared" si="127"/>
        <v>14969.969921699287</v>
      </c>
      <c r="Z300" s="131">
        <f t="shared" si="128"/>
        <v>13590.89317610792</v>
      </c>
      <c r="AC300" s="140" t="s">
        <v>76</v>
      </c>
      <c r="AD300" s="141"/>
      <c r="AE300" s="141"/>
      <c r="AF300" s="141"/>
      <c r="AG300" s="141"/>
      <c r="AH300" s="141"/>
      <c r="AI300" s="142"/>
      <c r="AJ300" s="209" t="s">
        <v>75</v>
      </c>
      <c r="AK300" s="210"/>
      <c r="AL300" s="210"/>
      <c r="AM300" s="210"/>
      <c r="AN300" s="210"/>
      <c r="AO300" s="211"/>
    </row>
    <row r="301" spans="1:41" ht="15.75" thickBot="1">
      <c r="A301">
        <v>390</v>
      </c>
      <c r="B301">
        <v>445.05</v>
      </c>
      <c r="C301">
        <f t="shared" si="129"/>
        <v>2.9990999999999999</v>
      </c>
      <c r="D301">
        <f t="shared" si="130"/>
        <v>4279.1557499999999</v>
      </c>
      <c r="E301">
        <f t="shared" si="114"/>
        <v>27.521707413759906</v>
      </c>
      <c r="F301">
        <f t="shared" si="115"/>
        <v>400378.35875873588</v>
      </c>
      <c r="G301" s="120">
        <f t="shared" si="116"/>
        <v>20104398.675775707</v>
      </c>
      <c r="H301" s="120">
        <f t="shared" si="117"/>
        <v>2870.6216985637725</v>
      </c>
      <c r="I301" s="120">
        <f t="shared" si="118"/>
        <v>19.638378012558171</v>
      </c>
      <c r="J301" s="120">
        <f t="shared" si="131"/>
        <v>3.9865060292157843</v>
      </c>
      <c r="K301" s="121">
        <f t="shared" si="119"/>
        <v>27894549.020528231</v>
      </c>
      <c r="L301" s="121">
        <f t="shared" si="120"/>
        <v>4159.9639689044798</v>
      </c>
      <c r="M301" s="121">
        <f t="shared" si="113"/>
        <v>2.9990999999999999</v>
      </c>
      <c r="N301" s="121">
        <f t="shared" si="121"/>
        <v>25.843791050272866</v>
      </c>
      <c r="O301" s="122">
        <f t="shared" si="132"/>
        <v>3.4012150218642949</v>
      </c>
      <c r="P301" s="122">
        <f t="shared" si="133"/>
        <v>62.930194185655566</v>
      </c>
      <c r="Q301" s="123">
        <f t="shared" si="122"/>
        <v>22036506.215594739</v>
      </c>
      <c r="R301" s="123">
        <f t="shared" si="123"/>
        <v>3146.4991394327044</v>
      </c>
      <c r="S301" s="123">
        <f t="shared" si="124"/>
        <v>20.664934871912845</v>
      </c>
      <c r="T301" s="124">
        <f t="shared" si="134"/>
        <v>3.5775715066031082</v>
      </c>
      <c r="U301">
        <f t="shared" si="125"/>
        <v>1.4238269630175968E-2</v>
      </c>
      <c r="V301" s="123">
        <f t="shared" si="126"/>
        <v>5057.9739127755738</v>
      </c>
      <c r="Y301" s="130">
        <f t="shared" si="127"/>
        <v>5345.2581051106381</v>
      </c>
      <c r="Z301" s="131">
        <f t="shared" si="128"/>
        <v>4853.7235540480624</v>
      </c>
      <c r="AC301" s="209" t="str">
        <f>A273</f>
        <v>Для T=+50</v>
      </c>
      <c r="AD301" s="210"/>
      <c r="AE301" s="210"/>
      <c r="AF301" s="211"/>
      <c r="AG301" s="209" t="s">
        <v>61</v>
      </c>
      <c r="AH301" s="210"/>
      <c r="AI301" s="210"/>
      <c r="AJ301" s="211"/>
      <c r="AK301" s="209" t="s">
        <v>63</v>
      </c>
      <c r="AL301" s="210"/>
      <c r="AM301" s="210"/>
      <c r="AN301" s="211"/>
      <c r="AO301" s="218" t="s">
        <v>78</v>
      </c>
    </row>
    <row r="302" spans="1:41" ht="15.75" thickBot="1">
      <c r="A302">
        <v>405.13</v>
      </c>
      <c r="B302">
        <v>448.01</v>
      </c>
      <c r="C302">
        <f t="shared" si="129"/>
        <v>3.1154497000000001</v>
      </c>
      <c r="D302">
        <f t="shared" si="130"/>
        <v>4307.6161499999998</v>
      </c>
      <c r="E302">
        <f t="shared" si="114"/>
        <v>27.699228925634937</v>
      </c>
      <c r="F302">
        <f t="shared" si="115"/>
        <v>402029.2677265192</v>
      </c>
      <c r="G302" s="120">
        <f t="shared" si="116"/>
        <v>20236141.907263488</v>
      </c>
      <c r="H302" s="120">
        <f t="shared" si="117"/>
        <v>2889.432755818927</v>
      </c>
      <c r="I302" s="120">
        <f t="shared" si="118"/>
        <v>19.685895159794846</v>
      </c>
      <c r="J302" s="120">
        <f t="shared" si="131"/>
        <v>4.1396047462080867</v>
      </c>
      <c r="K302" s="121">
        <f t="shared" si="119"/>
        <v>28074475.448810756</v>
      </c>
      <c r="L302" s="121">
        <f t="shared" si="120"/>
        <v>4186.796719648828</v>
      </c>
      <c r="M302" s="121">
        <f t="shared" si="113"/>
        <v>3.1154497000000001</v>
      </c>
      <c r="N302" s="121">
        <f t="shared" si="121"/>
        <v>25.903679096805178</v>
      </c>
      <c r="O302" s="122">
        <f t="shared" si="132"/>
        <v>3.0138852918095593</v>
      </c>
      <c r="P302" s="122">
        <f t="shared" si="133"/>
        <v>65.944079477465124</v>
      </c>
      <c r="Q302" s="123">
        <f t="shared" si="122"/>
        <v>22167743.793807819</v>
      </c>
      <c r="R302" s="123">
        <f t="shared" si="123"/>
        <v>3165.2379966014164</v>
      </c>
      <c r="S302" s="123">
        <f t="shared" si="124"/>
        <v>20.702639422425868</v>
      </c>
      <c r="T302" s="124">
        <f t="shared" si="134"/>
        <v>3.723151267246807</v>
      </c>
      <c r="U302">
        <f t="shared" si="125"/>
        <v>1.4323065105734918E-2</v>
      </c>
      <c r="V302" s="123">
        <f t="shared" si="126"/>
        <v>4505.6358035332678</v>
      </c>
      <c r="Y302" s="130">
        <f t="shared" si="127"/>
        <v>4762.0002010736634</v>
      </c>
      <c r="Z302" s="131">
        <f t="shared" si="128"/>
        <v>4324.1855384954606</v>
      </c>
      <c r="AC302" s="63" t="str">
        <f>AC252</f>
        <v>t работы с</v>
      </c>
      <c r="AD302" s="63" t="str">
        <f t="shared" ref="AD302:AN302" si="148">AD252</f>
        <v>R кгс</v>
      </c>
      <c r="AE302" s="63" t="str">
        <f t="shared" si="148"/>
        <v>pk</v>
      </c>
      <c r="AF302" s="63" t="str">
        <f t="shared" si="148"/>
        <v>Sг</v>
      </c>
      <c r="AG302" s="63" t="str">
        <f t="shared" si="148"/>
        <v>pk</v>
      </c>
      <c r="AH302" s="63" t="str">
        <f t="shared" si="148"/>
        <v>тяга в кгс</v>
      </c>
      <c r="AI302" s="63" t="str">
        <f t="shared" si="148"/>
        <v>Скорость горения</v>
      </c>
      <c r="AJ302" s="63" t="str">
        <f t="shared" si="148"/>
        <v>Время работы</v>
      </c>
      <c r="AK302" s="63" t="str">
        <f t="shared" si="148"/>
        <v>pk</v>
      </c>
      <c r="AL302" s="63" t="str">
        <f t="shared" si="148"/>
        <v>тяга в кгс</v>
      </c>
      <c r="AM302" s="63" t="str">
        <f t="shared" si="148"/>
        <v>t работы с</v>
      </c>
      <c r="AN302" s="63" t="str">
        <f t="shared" si="148"/>
        <v>Скорость горения</v>
      </c>
      <c r="AO302" s="219"/>
    </row>
    <row r="303" spans="1:41">
      <c r="A303">
        <v>430.78899999999999</v>
      </c>
      <c r="B303">
        <v>179.65</v>
      </c>
      <c r="C303">
        <f t="shared" si="129"/>
        <v>3.3127674099999997</v>
      </c>
      <c r="D303">
        <f t="shared" si="130"/>
        <v>1727.33475</v>
      </c>
      <c r="E303">
        <f t="shared" si="114"/>
        <v>11.604744828748478</v>
      </c>
      <c r="F303">
        <f t="shared" si="115"/>
        <v>230380.19258005751</v>
      </c>
      <c r="G303" s="120">
        <f t="shared" si="116"/>
        <v>8361771.5359784821</v>
      </c>
      <c r="H303" s="120">
        <f t="shared" si="117"/>
        <v>1193.9417738486386</v>
      </c>
      <c r="I303" s="120">
        <f t="shared" si="118"/>
        <v>14.19509433074867</v>
      </c>
      <c r="J303" s="120">
        <f t="shared" si="131"/>
        <v>4.402855537090093</v>
      </c>
      <c r="K303" s="121">
        <f t="shared" si="119"/>
        <v>11761956.430595672</v>
      </c>
      <c r="L303" s="121">
        <f t="shared" si="120"/>
        <v>1754.0815204070295</v>
      </c>
      <c r="M303" s="121">
        <f t="shared" si="113"/>
        <v>3.3127674099999997</v>
      </c>
      <c r="N303" s="121">
        <f t="shared" si="121"/>
        <v>18.938339641253105</v>
      </c>
      <c r="O303" s="122">
        <f t="shared" si="132"/>
        <v>3.7368698092142774</v>
      </c>
      <c r="P303" s="122">
        <f t="shared" si="133"/>
        <v>69.680949286679407</v>
      </c>
      <c r="Q303" s="123">
        <f t="shared" si="122"/>
        <v>9926260.2629557922</v>
      </c>
      <c r="R303" s="123">
        <f t="shared" si="123"/>
        <v>1417.3284836314795</v>
      </c>
      <c r="S303" s="123">
        <f t="shared" si="124"/>
        <v>16.177165056305011</v>
      </c>
      <c r="T303" s="124">
        <f t="shared" si="134"/>
        <v>3.9541478476864582</v>
      </c>
      <c r="U303">
        <f t="shared" si="125"/>
        <v>6.4135743053156018E-3</v>
      </c>
      <c r="V303" s="123">
        <f t="shared" si="126"/>
        <v>5190.6351643517191</v>
      </c>
      <c r="Y303" s="130">
        <f t="shared" si="127"/>
        <v>5748.0812413255926</v>
      </c>
      <c r="Z303" s="131">
        <f t="shared" si="128"/>
        <v>5271.0250450823023</v>
      </c>
      <c r="AC303" s="63">
        <f t="shared" ref="AC303:AO303" si="149">C275</f>
        <v>0</v>
      </c>
      <c r="AD303" s="63">
        <f t="shared" si="149"/>
        <v>0</v>
      </c>
      <c r="AE303" s="63">
        <f t="shared" si="149"/>
        <v>0.8305084745762713</v>
      </c>
      <c r="AF303" s="63">
        <f t="shared" si="149"/>
        <v>42604.80282071454</v>
      </c>
      <c r="AG303" s="63">
        <f t="shared" si="149"/>
        <v>573888.52334541443</v>
      </c>
      <c r="AH303" s="63">
        <f t="shared" si="149"/>
        <v>83.763944926855842</v>
      </c>
      <c r="AI303" s="63">
        <f t="shared" si="149"/>
        <v>5.2681011203064214</v>
      </c>
      <c r="AJ303" s="63">
        <f t="shared" si="149"/>
        <v>0</v>
      </c>
      <c r="AK303" s="63">
        <f t="shared" si="149"/>
        <v>841759.52486324974</v>
      </c>
      <c r="AL303" s="63">
        <f t="shared" si="149"/>
        <v>125.53298283141913</v>
      </c>
      <c r="AM303" s="63">
        <f t="shared" si="149"/>
        <v>0</v>
      </c>
      <c r="AN303" s="63">
        <f t="shared" si="149"/>
        <v>7.3288688694596722</v>
      </c>
      <c r="AO303" s="63">
        <f t="shared" si="149"/>
        <v>0</v>
      </c>
    </row>
    <row r="304" spans="1:41">
      <c r="A304">
        <v>452.17</v>
      </c>
      <c r="B304">
        <v>28.47</v>
      </c>
      <c r="C304">
        <f t="shared" si="129"/>
        <v>3.4771873000000002</v>
      </c>
      <c r="D304">
        <f t="shared" si="130"/>
        <v>273.73905000000002</v>
      </c>
      <c r="E304">
        <f t="shared" si="114"/>
        <v>2.5379535566986351</v>
      </c>
      <c r="F304">
        <f t="shared" si="115"/>
        <v>87085.912140456305</v>
      </c>
      <c r="G304" s="120">
        <f t="shared" si="116"/>
        <v>1785121.458071382</v>
      </c>
      <c r="H304" s="120">
        <f t="shared" si="117"/>
        <v>254.88980309063052</v>
      </c>
      <c r="I304" s="120">
        <f t="shared" si="118"/>
        <v>8.0168727081617206</v>
      </c>
      <c r="J304" s="120">
        <f t="shared" si="131"/>
        <v>4.6275728708383568</v>
      </c>
      <c r="K304" s="121">
        <f t="shared" si="119"/>
        <v>2572335.6779732029</v>
      </c>
      <c r="L304" s="121">
        <f t="shared" si="120"/>
        <v>383.61690637596575</v>
      </c>
      <c r="M304" s="121">
        <f t="shared" si="113"/>
        <v>3.4771873000000002</v>
      </c>
      <c r="N304" s="121">
        <f t="shared" si="121"/>
        <v>10.956887636753185</v>
      </c>
      <c r="O304" s="122">
        <f t="shared" si="132"/>
        <v>1.8015302599773237</v>
      </c>
      <c r="P304" s="122">
        <f t="shared" si="133"/>
        <v>71.482479546656734</v>
      </c>
      <c r="Q304" s="123">
        <f t="shared" si="122"/>
        <v>2438493.1652631755</v>
      </c>
      <c r="R304" s="123">
        <f t="shared" si="123"/>
        <v>348.18197798329697</v>
      </c>
      <c r="S304" s="123">
        <f t="shared" si="124"/>
        <v>10.513214689987194</v>
      </c>
      <c r="T304" s="124">
        <f t="shared" si="134"/>
        <v>4.1255064961208996</v>
      </c>
      <c r="U304">
        <f t="shared" si="125"/>
        <v>1.5755638774438679E-3</v>
      </c>
      <c r="V304" s="123">
        <f t="shared" si="126"/>
        <v>1483.4827580487035</v>
      </c>
      <c r="Y304" s="130">
        <f t="shared" si="127"/>
        <v>1723.4828673963343</v>
      </c>
      <c r="Z304" s="131">
        <f t="shared" si="128"/>
        <v>1596.469609689987</v>
      </c>
      <c r="AC304" s="23">
        <f t="shared" ref="AC304:AO304" si="150">C276</f>
        <v>1.6610400000000001E-2</v>
      </c>
      <c r="AD304" s="23">
        <f t="shared" si="150"/>
        <v>113.55315</v>
      </c>
      <c r="AE304" s="23">
        <f t="shared" si="150"/>
        <v>1.5387953175641573</v>
      </c>
      <c r="AF304" s="23">
        <f t="shared" si="150"/>
        <v>63222.855020091374</v>
      </c>
      <c r="AG304" s="23">
        <f t="shared" si="150"/>
        <v>1073780.9753210784</v>
      </c>
      <c r="AH304" s="23">
        <f t="shared" si="150"/>
        <v>153.32051260175598</v>
      </c>
      <c r="AI304" s="23">
        <f t="shared" si="150"/>
        <v>6.6424259830942596</v>
      </c>
      <c r="AJ304" s="23">
        <f t="shared" si="150"/>
        <v>2.2882926308789863E-2</v>
      </c>
      <c r="AK304" s="23">
        <f t="shared" si="150"/>
        <v>1559641.6593285981</v>
      </c>
      <c r="AL304" s="23">
        <f t="shared" si="150"/>
        <v>232.59203225400725</v>
      </c>
      <c r="AM304" s="23">
        <f t="shared" si="150"/>
        <v>1.6610400000000001E-2</v>
      </c>
      <c r="AN304" s="23">
        <f t="shared" si="150"/>
        <v>9.1507816959698136</v>
      </c>
      <c r="AO304" s="23">
        <f t="shared" si="150"/>
        <v>0.151998144282737</v>
      </c>
    </row>
    <row r="305" spans="1:41">
      <c r="A305">
        <v>476.54</v>
      </c>
      <c r="B305">
        <v>2.34</v>
      </c>
      <c r="C305">
        <f t="shared" si="129"/>
        <v>3.6645926000000002</v>
      </c>
      <c r="D305">
        <f t="shared" si="130"/>
        <v>22.499099999999999</v>
      </c>
      <c r="E305">
        <f t="shared" si="114"/>
        <v>0.97084642653153408</v>
      </c>
      <c r="F305">
        <f t="shared" si="115"/>
        <v>47081.977909461319</v>
      </c>
      <c r="G305" s="120">
        <f t="shared" si="116"/>
        <v>672527.89239083568</v>
      </c>
      <c r="H305" s="120">
        <f t="shared" si="117"/>
        <v>96.027286744393663</v>
      </c>
      <c r="I305" s="120">
        <f t="shared" si="118"/>
        <v>5.5865118485979304</v>
      </c>
      <c r="J305" s="120">
        <f t="shared" si="131"/>
        <v>4.8876417730688138</v>
      </c>
      <c r="K305" s="121">
        <f t="shared" si="119"/>
        <v>983998.66073530156</v>
      </c>
      <c r="L305" s="121">
        <f t="shared" si="120"/>
        <v>146.74536010905322</v>
      </c>
      <c r="M305" s="121">
        <f t="shared" si="113"/>
        <v>3.6645926000000002</v>
      </c>
      <c r="N305" s="121">
        <f t="shared" si="121"/>
        <v>7.7525982656963528</v>
      </c>
      <c r="O305" s="122">
        <f t="shared" si="132"/>
        <v>1.4528780037623046</v>
      </c>
      <c r="P305" s="122">
        <f t="shared" si="133"/>
        <v>72.935357550419042</v>
      </c>
      <c r="Q305" s="123">
        <f t="shared" si="122"/>
        <v>1003935.1527380036</v>
      </c>
      <c r="R305" s="123">
        <f t="shared" si="123"/>
        <v>143.34752383560848</v>
      </c>
      <c r="S305" s="123">
        <f t="shared" si="124"/>
        <v>8.005949708409009</v>
      </c>
      <c r="T305" s="124">
        <f t="shared" si="134"/>
        <v>4.3069812813342372</v>
      </c>
      <c r="U305">
        <f t="shared" si="125"/>
        <v>6.4866450498309188E-4</v>
      </c>
      <c r="V305" s="123">
        <f t="shared" si="126"/>
        <v>437.3932335038532</v>
      </c>
      <c r="Y305" s="130">
        <f t="shared" si="127"/>
        <v>487.3721027794017</v>
      </c>
      <c r="Z305" s="131">
        <f t="shared" si="128"/>
        <v>447.50626858192243</v>
      </c>
      <c r="AC305" s="23">
        <f t="shared" ref="AC305:AO305" si="151">C277</f>
        <v>6.5057400000000001E-2</v>
      </c>
      <c r="AD305" s="23">
        <f t="shared" si="151"/>
        <v>627.37874999999997</v>
      </c>
      <c r="AE305" s="23">
        <f t="shared" si="151"/>
        <v>4.7437782887134068</v>
      </c>
      <c r="AF305" s="23">
        <f t="shared" si="151"/>
        <v>129956.4864521219</v>
      </c>
      <c r="AG305" s="23">
        <f t="shared" si="151"/>
        <v>3369925.0386578557</v>
      </c>
      <c r="AH305" s="23">
        <f t="shared" si="151"/>
        <v>481.17718465794547</v>
      </c>
      <c r="AI305" s="23">
        <f t="shared" si="151"/>
        <v>10.141621588821655</v>
      </c>
      <c r="AJ305" s="23">
        <f t="shared" si="151"/>
        <v>8.8442685841929269E-2</v>
      </c>
      <c r="AK305" s="23">
        <f t="shared" si="151"/>
        <v>4808043.1212954205</v>
      </c>
      <c r="AL305" s="23">
        <f t="shared" si="151"/>
        <v>717.03196461159416</v>
      </c>
      <c r="AM305" s="23">
        <f t="shared" si="151"/>
        <v>6.5057400000000001E-2</v>
      </c>
      <c r="AN305" s="23">
        <f t="shared" si="151"/>
        <v>13.72391010050659</v>
      </c>
      <c r="AO305" s="23">
        <f t="shared" si="151"/>
        <v>0.66488227263924282</v>
      </c>
    </row>
    <row r="306" spans="1:41" ht="15.75" thickBot="1">
      <c r="A306">
        <v>520</v>
      </c>
      <c r="B306">
        <v>0</v>
      </c>
      <c r="C306">
        <f t="shared" si="129"/>
        <v>3.9987999999999997</v>
      </c>
      <c r="D306">
        <f t="shared" si="130"/>
        <v>0</v>
      </c>
      <c r="E306">
        <f t="shared" si="114"/>
        <v>0.8305084745762713</v>
      </c>
      <c r="F306">
        <f t="shared" si="115"/>
        <v>42604.80282071454</v>
      </c>
      <c r="G306" s="120">
        <f t="shared" si="116"/>
        <v>573888.52334541443</v>
      </c>
      <c r="H306" s="120">
        <f t="shared" si="117"/>
        <v>81.942989602358978</v>
      </c>
      <c r="I306" s="120">
        <f t="shared" si="118"/>
        <v>5.2681011203064214</v>
      </c>
      <c r="J306" s="120">
        <f t="shared" si="131"/>
        <v>5.3525839132949651</v>
      </c>
      <c r="K306" s="121">
        <f t="shared" si="119"/>
        <v>841759.52486324974</v>
      </c>
      <c r="L306" s="121">
        <f t="shared" si="120"/>
        <v>125.53298283141913</v>
      </c>
      <c r="M306" s="121">
        <f t="shared" si="113"/>
        <v>3.9987999999999997</v>
      </c>
      <c r="N306" s="121">
        <f t="shared" si="121"/>
        <v>7.3288688694596722</v>
      </c>
      <c r="O306" s="122">
        <f t="shared" si="132"/>
        <v>2.4493622098030525</v>
      </c>
      <c r="P306" s="122">
        <f t="shared" si="133"/>
        <v>75.384719760222097</v>
      </c>
      <c r="Q306" s="123">
        <f t="shared" si="122"/>
        <v>869130.4572473797</v>
      </c>
      <c r="R306" s="123">
        <f t="shared" si="123"/>
        <v>124.09933312022406</v>
      </c>
      <c r="S306" s="123">
        <f t="shared" si="124"/>
        <v>7.6592863296278946</v>
      </c>
      <c r="T306" s="124">
        <f t="shared" si="134"/>
        <v>4.6267711552717543</v>
      </c>
      <c r="U306">
        <f t="shared" si="125"/>
        <v>5.6156423677220077E-4</v>
      </c>
      <c r="V306" s="123">
        <f t="shared" si="126"/>
        <v>419.38064747571337</v>
      </c>
      <c r="Y306" s="132">
        <f t="shared" si="127"/>
        <v>446.20593267491961</v>
      </c>
      <c r="Z306" s="133">
        <f t="shared" si="128"/>
        <v>405.74442837249853</v>
      </c>
      <c r="AC306" s="23">
        <f t="shared" ref="AC306:AO306" si="152">C278</f>
        <v>7.5438900000000003E-2</v>
      </c>
      <c r="AD306" s="23">
        <f t="shared" si="152"/>
        <v>1035.1509000000001</v>
      </c>
      <c r="AE306" s="23">
        <f t="shared" si="152"/>
        <v>7.2872537341931904</v>
      </c>
      <c r="AF306" s="23">
        <f t="shared" si="152"/>
        <v>171048.49071676025</v>
      </c>
      <c r="AG306" s="23">
        <f t="shared" si="152"/>
        <v>5212176.4071379574</v>
      </c>
      <c r="AH306" s="23">
        <f t="shared" si="152"/>
        <v>744.2244439327477</v>
      </c>
      <c r="AI306" s="23">
        <f t="shared" si="152"/>
        <v>11.917495101888193</v>
      </c>
      <c r="AJ306" s="23">
        <f t="shared" si="152"/>
        <v>0.10239580212914848</v>
      </c>
      <c r="AK306" s="23">
        <f t="shared" si="152"/>
        <v>7385975.494087602</v>
      </c>
      <c r="AL306" s="23">
        <f t="shared" si="152"/>
        <v>1101.4836399724745</v>
      </c>
      <c r="AM306" s="23">
        <f t="shared" si="152"/>
        <v>7.5438900000000003E-2</v>
      </c>
      <c r="AN306" s="23">
        <f t="shared" si="152"/>
        <v>16.017549969562328</v>
      </c>
      <c r="AO306" s="23">
        <f t="shared" si="152"/>
        <v>0.16628619500901134</v>
      </c>
    </row>
    <row r="307" spans="1:41" ht="15.75" thickBot="1">
      <c r="V307" s="125">
        <f>SUM(V275:V306)</f>
        <v>80495.21061257775</v>
      </c>
      <c r="Y307" s="134">
        <f>SUM(Y275:Y306)</f>
        <v>85386.353184787178</v>
      </c>
      <c r="Z307" s="135">
        <f>SUM(Z275:Z306)</f>
        <v>77599.337229464305</v>
      </c>
      <c r="AC307" s="23">
        <f t="shared" ref="AC307:AO307" si="153">C279</f>
        <v>0.19994000000000001</v>
      </c>
      <c r="AD307" s="23">
        <f t="shared" si="153"/>
        <v>1052.55405</v>
      </c>
      <c r="AE307" s="23">
        <f t="shared" si="153"/>
        <v>7.3958057397654224</v>
      </c>
      <c r="AF307" s="23">
        <f t="shared" si="153"/>
        <v>172674.84424515543</v>
      </c>
      <c r="AG307" s="23">
        <f t="shared" si="153"/>
        <v>5291059.4368727822</v>
      </c>
      <c r="AH307" s="23">
        <f t="shared" si="153"/>
        <v>755.48781717814654</v>
      </c>
      <c r="AI307" s="23">
        <f t="shared" si="153"/>
        <v>11.98391416503584</v>
      </c>
      <c r="AJ307" s="23">
        <f t="shared" si="153"/>
        <v>0.26969057196529012</v>
      </c>
      <c r="AK307" s="23">
        <f t="shared" si="153"/>
        <v>7495998.0735441726</v>
      </c>
      <c r="AL307" s="23">
        <f t="shared" si="153"/>
        <v>1117.8915044479068</v>
      </c>
      <c r="AM307" s="23">
        <f t="shared" si="153"/>
        <v>0.19994000000000001</v>
      </c>
      <c r="AN307" s="23">
        <f t="shared" si="153"/>
        <v>16.103039748048399</v>
      </c>
      <c r="AO307" s="23">
        <f t="shared" si="153"/>
        <v>2.0048461619757485</v>
      </c>
    </row>
    <row r="308" spans="1:41">
      <c r="AC308" s="23">
        <f t="shared" ref="AC308:AO308" si="154">C280</f>
        <v>0.29514220000000002</v>
      </c>
      <c r="AD308" s="23">
        <f t="shared" si="154"/>
        <v>1070.5341000000001</v>
      </c>
      <c r="AE308" s="23">
        <f t="shared" si="154"/>
        <v>7.5079561543621507</v>
      </c>
      <c r="AF308" s="23">
        <f t="shared" si="154"/>
        <v>174346.10991878086</v>
      </c>
      <c r="AG308" s="23">
        <f t="shared" si="154"/>
        <v>5372576.6753423633</v>
      </c>
      <c r="AH308" s="23">
        <f t="shared" si="154"/>
        <v>767.12731791618364</v>
      </c>
      <c r="AI308" s="23">
        <f t="shared" si="154"/>
        <v>12.051898990536289</v>
      </c>
      <c r="AJ308" s="23">
        <f t="shared" si="154"/>
        <v>0.3975852314511138</v>
      </c>
      <c r="AK308" s="23">
        <f t="shared" si="154"/>
        <v>7609667.8103308287</v>
      </c>
      <c r="AL308" s="23">
        <f t="shared" si="154"/>
        <v>1134.8432760330272</v>
      </c>
      <c r="AM308" s="23">
        <f t="shared" si="154"/>
        <v>0.29514220000000002</v>
      </c>
      <c r="AN308" s="23">
        <f t="shared" si="154"/>
        <v>16.190524142847337</v>
      </c>
      <c r="AO308" s="23">
        <f t="shared" si="154"/>
        <v>1.541373517552181</v>
      </c>
    </row>
    <row r="309" spans="1:41">
      <c r="AC309" s="23">
        <f t="shared" ref="AC309:AO309" si="155">C281</f>
        <v>0.39988000000000001</v>
      </c>
      <c r="AD309" s="23">
        <f t="shared" si="155"/>
        <v>1094.28315</v>
      </c>
      <c r="AE309" s="23">
        <f t="shared" si="155"/>
        <v>7.6560906592038176</v>
      </c>
      <c r="AF309" s="23">
        <f t="shared" si="155"/>
        <v>176539.90116160788</v>
      </c>
      <c r="AG309" s="23">
        <f t="shared" si="155"/>
        <v>5480278.7611787785</v>
      </c>
      <c r="AH309" s="23">
        <f t="shared" si="155"/>
        <v>782.50564195066204</v>
      </c>
      <c r="AI309" s="23">
        <f t="shared" si="155"/>
        <v>12.140732585451527</v>
      </c>
      <c r="AJ309" s="23">
        <f t="shared" si="155"/>
        <v>0.53824638831178717</v>
      </c>
      <c r="AK309" s="23">
        <f t="shared" si="155"/>
        <v>7759809.1204179628</v>
      </c>
      <c r="AL309" s="23">
        <f t="shared" si="155"/>
        <v>1157.2341187149696</v>
      </c>
      <c r="AM309" s="23">
        <f t="shared" si="155"/>
        <v>0.39988000000000001</v>
      </c>
      <c r="AN309" s="23">
        <f t="shared" si="155"/>
        <v>16.304805816101602</v>
      </c>
      <c r="AO309" s="23">
        <f t="shared" si="155"/>
        <v>1.7077294906056864</v>
      </c>
    </row>
    <row r="310" spans="1:41">
      <c r="AC310" s="23">
        <f t="shared" ref="AC310:AO310" si="156">C282</f>
        <v>0.50169559999999991</v>
      </c>
      <c r="AD310" s="23">
        <f t="shared" si="156"/>
        <v>1122.1666499999999</v>
      </c>
      <c r="AE310" s="23">
        <f t="shared" si="156"/>
        <v>7.8300137620543557</v>
      </c>
      <c r="AF310" s="23">
        <f t="shared" si="156"/>
        <v>179096.20038032872</v>
      </c>
      <c r="AG310" s="23">
        <f t="shared" si="156"/>
        <v>5606772.7821969045</v>
      </c>
      <c r="AH310" s="23">
        <f t="shared" si="156"/>
        <v>800.56718670658711</v>
      </c>
      <c r="AI310" s="23">
        <f t="shared" si="156"/>
        <v>12.243672567077638</v>
      </c>
      <c r="AJ310" s="23">
        <f t="shared" si="156"/>
        <v>0.67493433320009366</v>
      </c>
      <c r="AK310" s="23">
        <f t="shared" si="156"/>
        <v>7936088.3913705321</v>
      </c>
      <c r="AL310" s="23">
        <f t="shared" si="156"/>
        <v>1183.5229623496482</v>
      </c>
      <c r="AM310" s="23">
        <f t="shared" si="156"/>
        <v>0.50169559999999991</v>
      </c>
      <c r="AN310" s="23">
        <f t="shared" si="156"/>
        <v>16.437190775079461</v>
      </c>
      <c r="AO310" s="23">
        <f t="shared" si="156"/>
        <v>1.6735624410791787</v>
      </c>
    </row>
    <row r="311" spans="1:41">
      <c r="AC311" s="23">
        <f t="shared" ref="AC311:AO311" si="157">C283</f>
        <v>0.59982000000000002</v>
      </c>
      <c r="AD311" s="23">
        <f t="shared" si="157"/>
        <v>1161.01125</v>
      </c>
      <c r="AE311" s="23">
        <f t="shared" si="157"/>
        <v>8.0723066363702802</v>
      </c>
      <c r="AF311" s="23">
        <f t="shared" si="157"/>
        <v>182623.58013640731</v>
      </c>
      <c r="AG311" s="23">
        <f t="shared" si="157"/>
        <v>5783066.1912561199</v>
      </c>
      <c r="AH311" s="23">
        <f t="shared" si="157"/>
        <v>825.73937486432874</v>
      </c>
      <c r="AI311" s="23">
        <f t="shared" si="157"/>
        <v>12.384726870676408</v>
      </c>
      <c r="AJ311" s="23">
        <f t="shared" si="157"/>
        <v>0.80660311631932524</v>
      </c>
      <c r="AK311" s="23">
        <f t="shared" si="157"/>
        <v>8181663.651594054</v>
      </c>
      <c r="AL311" s="23">
        <f t="shared" si="157"/>
        <v>1220.1460410682955</v>
      </c>
      <c r="AM311" s="23">
        <f t="shared" si="157"/>
        <v>0.59982000000000002</v>
      </c>
      <c r="AN311" s="23">
        <f t="shared" si="157"/>
        <v>16.618516050299508</v>
      </c>
      <c r="AO311" s="23">
        <f t="shared" si="157"/>
        <v>1.6306819163260109</v>
      </c>
    </row>
    <row r="312" spans="1:41">
      <c r="AC312" s="23">
        <f t="shared" ref="AC312:AO312" si="158">C284</f>
        <v>0.66941449999999991</v>
      </c>
      <c r="AD312" s="23">
        <f t="shared" si="158"/>
        <v>1199.952</v>
      </c>
      <c r="AE312" s="23">
        <f t="shared" si="158"/>
        <v>8.315199245523619</v>
      </c>
      <c r="AF312" s="23">
        <f t="shared" si="158"/>
        <v>186121.63474139853</v>
      </c>
      <c r="AG312" s="23">
        <f t="shared" si="158"/>
        <v>5959880.3049929142</v>
      </c>
      <c r="AH312" s="23">
        <f t="shared" si="158"/>
        <v>850.98591223449193</v>
      </c>
      <c r="AI312" s="23">
        <f t="shared" si="158"/>
        <v>12.523502355755159</v>
      </c>
      <c r="AJ312" s="23">
        <f t="shared" si="158"/>
        <v>0.89994495713056555</v>
      </c>
      <c r="AK312" s="23">
        <f t="shared" si="158"/>
        <v>8427846.77137262</v>
      </c>
      <c r="AL312" s="23">
        <f t="shared" si="158"/>
        <v>1256.8597709718952</v>
      </c>
      <c r="AM312" s="23">
        <f t="shared" si="158"/>
        <v>0.66941449999999991</v>
      </c>
      <c r="AN312" s="23">
        <f t="shared" si="158"/>
        <v>16.796826808010596</v>
      </c>
      <c r="AO312" s="23">
        <f t="shared" si="158"/>
        <v>1.1689667632900917</v>
      </c>
    </row>
    <row r="313" spans="1:41">
      <c r="AC313" s="23">
        <f t="shared" ref="AC313:AO313" si="159">C285</f>
        <v>0.79976000000000003</v>
      </c>
      <c r="AD313" s="23">
        <f t="shared" si="159"/>
        <v>1296.1020000000001</v>
      </c>
      <c r="AE313" s="23">
        <f t="shared" si="159"/>
        <v>8.9149340829392738</v>
      </c>
      <c r="AF313" s="23">
        <f t="shared" si="159"/>
        <v>194604.98599688892</v>
      </c>
      <c r="AG313" s="23">
        <f t="shared" si="159"/>
        <v>6396804.8378654271</v>
      </c>
      <c r="AH313" s="23">
        <f t="shared" si="159"/>
        <v>913.3725131340525</v>
      </c>
      <c r="AI313" s="23">
        <f t="shared" si="159"/>
        <v>12.855656515366665</v>
      </c>
      <c r="AJ313" s="23">
        <f t="shared" si="159"/>
        <v>1.0745743716080067</v>
      </c>
      <c r="AK313" s="23">
        <f t="shared" si="159"/>
        <v>9035706.326381363</v>
      </c>
      <c r="AL313" s="23">
        <f t="shared" si="159"/>
        <v>1347.5109559190457</v>
      </c>
      <c r="AM313" s="23">
        <f t="shared" si="159"/>
        <v>0.79976000000000003</v>
      </c>
      <c r="AN313" s="23">
        <f t="shared" si="159"/>
        <v>17.223270231819139</v>
      </c>
      <c r="AO313" s="23">
        <f t="shared" si="159"/>
        <v>2.2449757700015835</v>
      </c>
    </row>
    <row r="314" spans="1:41">
      <c r="AC314" s="23">
        <f t="shared" ref="AC314:AO314" si="160">C286</f>
        <v>0.90995769999999998</v>
      </c>
      <c r="AD314" s="23">
        <f t="shared" si="160"/>
        <v>1399.944</v>
      </c>
      <c r="AE314" s="23">
        <f t="shared" si="160"/>
        <v>9.5626477073481784</v>
      </c>
      <c r="AF314" s="23">
        <f t="shared" si="160"/>
        <v>203539.34661525005</v>
      </c>
      <c r="AG314" s="23">
        <f t="shared" si="160"/>
        <v>6869207.1512434473</v>
      </c>
      <c r="AH314" s="23">
        <f t="shared" si="160"/>
        <v>980.82483583835585</v>
      </c>
      <c r="AI314" s="23">
        <f t="shared" si="160"/>
        <v>13.199070841799344</v>
      </c>
      <c r="AJ314" s="23">
        <f t="shared" si="160"/>
        <v>1.2220466511301766</v>
      </c>
      <c r="AK314" s="23">
        <f t="shared" si="160"/>
        <v>9692194.6457908582</v>
      </c>
      <c r="AL314" s="23">
        <f t="shared" si="160"/>
        <v>1445.4142356619759</v>
      </c>
      <c r="AM314" s="23">
        <f t="shared" si="160"/>
        <v>0.90995769999999998</v>
      </c>
      <c r="AN314" s="23">
        <f t="shared" si="160"/>
        <v>17.663681407277611</v>
      </c>
      <c r="AO314" s="23">
        <f t="shared" si="160"/>
        <v>1.9464970646147552</v>
      </c>
    </row>
    <row r="315" spans="1:41">
      <c r="AC315" s="23">
        <f t="shared" ref="AC315:AO315" si="161">C287</f>
        <v>0.99969999999999992</v>
      </c>
      <c r="AD315" s="23">
        <f t="shared" si="161"/>
        <v>1506.6704999999999</v>
      </c>
      <c r="AE315" s="23">
        <f t="shared" si="161"/>
        <v>10.228353376879554</v>
      </c>
      <c r="AF315" s="23">
        <f t="shared" si="161"/>
        <v>212497.59503955825</v>
      </c>
      <c r="AG315" s="23">
        <f t="shared" si="161"/>
        <v>7355261.3781051263</v>
      </c>
      <c r="AH315" s="23">
        <f t="shared" si="161"/>
        <v>1050.2264573664654</v>
      </c>
      <c r="AI315" s="23">
        <f t="shared" si="161"/>
        <v>13.537211485602604</v>
      </c>
      <c r="AJ315" s="23">
        <f t="shared" si="161"/>
        <v>1.3420162286117716</v>
      </c>
      <c r="AK315" s="23">
        <f t="shared" si="161"/>
        <v>10366918.751850594</v>
      </c>
      <c r="AL315" s="23">
        <f t="shared" si="161"/>
        <v>1546.0370509533172</v>
      </c>
      <c r="AM315" s="23">
        <f t="shared" si="161"/>
        <v>0.99969999999999992</v>
      </c>
      <c r="AN315" s="23">
        <f t="shared" si="161"/>
        <v>18.096856690844106</v>
      </c>
      <c r="AO315" s="23">
        <f t="shared" si="161"/>
        <v>1.6240535422067379</v>
      </c>
    </row>
    <row r="316" spans="1:41">
      <c r="AC316" s="23">
        <f t="shared" ref="AC316:AO316" si="162">C288</f>
        <v>1.0728857299999999</v>
      </c>
      <c r="AD316" s="23">
        <f t="shared" si="162"/>
        <v>1599.9360000000001</v>
      </c>
      <c r="AE316" s="23">
        <f t="shared" si="162"/>
        <v>10.810096169172736</v>
      </c>
      <c r="AF316" s="23">
        <f t="shared" si="162"/>
        <v>220155.36471825794</v>
      </c>
      <c r="AG316" s="23">
        <f t="shared" si="162"/>
        <v>7780424.1788504478</v>
      </c>
      <c r="AH316" s="23">
        <f t="shared" si="162"/>
        <v>1110.9336504211917</v>
      </c>
      <c r="AI316" s="23">
        <f t="shared" si="162"/>
        <v>13.821625597147895</v>
      </c>
      <c r="AJ316" s="23">
        <f t="shared" si="162"/>
        <v>1.4397667340990836</v>
      </c>
      <c r="AK316" s="23">
        <f t="shared" si="162"/>
        <v>10956542.520209054</v>
      </c>
      <c r="AL316" s="23">
        <f t="shared" si="162"/>
        <v>1633.9687003520505</v>
      </c>
      <c r="AM316" s="23">
        <f t="shared" si="162"/>
        <v>1.0728857299999999</v>
      </c>
      <c r="AN316" s="23">
        <f t="shared" si="162"/>
        <v>18.460851436169008</v>
      </c>
      <c r="AO316" s="23">
        <f t="shared" si="162"/>
        <v>1.3510708887775764</v>
      </c>
    </row>
    <row r="317" spans="1:41">
      <c r="AC317" s="23">
        <f t="shared" ref="AC317:AO317" si="163">C289</f>
        <v>1.19964</v>
      </c>
      <c r="AD317" s="23">
        <f t="shared" si="163"/>
        <v>1760.0257500000002</v>
      </c>
      <c r="AE317" s="23">
        <f t="shared" si="163"/>
        <v>11.808654673469801</v>
      </c>
      <c r="AF317" s="23">
        <f t="shared" si="163"/>
        <v>232962.82619320898</v>
      </c>
      <c r="AG317" s="23">
        <f t="shared" si="163"/>
        <v>8511051.1606369186</v>
      </c>
      <c r="AH317" s="23">
        <f t="shared" si="163"/>
        <v>1215.2567783066729</v>
      </c>
      <c r="AI317" s="23">
        <f t="shared" si="163"/>
        <v>14.288337410382306</v>
      </c>
      <c r="AJ317" s="23">
        <f t="shared" si="163"/>
        <v>1.6088287876250424</v>
      </c>
      <c r="AK317" s="23">
        <f t="shared" si="163"/>
        <v>11968628.679298628</v>
      </c>
      <c r="AL317" s="23">
        <f t="shared" si="163"/>
        <v>1784.9029232890587</v>
      </c>
      <c r="AM317" s="23">
        <f t="shared" si="163"/>
        <v>1.19964</v>
      </c>
      <c r="AN317" s="23">
        <f t="shared" si="163"/>
        <v>19.057469733138063</v>
      </c>
      <c r="AO317" s="23">
        <f t="shared" si="163"/>
        <v>2.4156156640710131</v>
      </c>
    </row>
    <row r="318" spans="1:41">
      <c r="AC318" s="23">
        <f t="shared" ref="AC318:AO318" si="164">C290</f>
        <v>1.2326301</v>
      </c>
      <c r="AD318" s="23">
        <f t="shared" si="164"/>
        <v>1799.9279999999999</v>
      </c>
      <c r="AE318" s="23">
        <f t="shared" si="164"/>
        <v>12.057544630997294</v>
      </c>
      <c r="AF318" s="23">
        <f t="shared" si="164"/>
        <v>236093.50404984836</v>
      </c>
      <c r="AG318" s="23">
        <f t="shared" si="164"/>
        <v>8693315.5064486302</v>
      </c>
      <c r="AH318" s="23">
        <f t="shared" si="164"/>
        <v>1241.2815311984787</v>
      </c>
      <c r="AI318" s="23">
        <f t="shared" si="164"/>
        <v>14.400796929838135</v>
      </c>
      <c r="AJ318" s="23">
        <f t="shared" si="164"/>
        <v>1.6528156909156728</v>
      </c>
      <c r="AK318" s="23">
        <f t="shared" si="164"/>
        <v>12220890.394627267</v>
      </c>
      <c r="AL318" s="23">
        <f t="shared" si="164"/>
        <v>1822.5231650421274</v>
      </c>
      <c r="AM318" s="23">
        <f t="shared" si="164"/>
        <v>1.2326301</v>
      </c>
      <c r="AN318" s="23">
        <f t="shared" si="164"/>
        <v>19.201107661413509</v>
      </c>
      <c r="AO318" s="23">
        <f t="shared" si="164"/>
        <v>0.63344646186079612</v>
      </c>
    </row>
    <row r="319" spans="1:41">
      <c r="AC319" s="23">
        <f t="shared" ref="AC319:AO319" si="165">C291</f>
        <v>1.39958</v>
      </c>
      <c r="AD319" s="23">
        <f t="shared" si="165"/>
        <v>1999.92</v>
      </c>
      <c r="AE319" s="23">
        <f t="shared" si="165"/>
        <v>13.304993092821853</v>
      </c>
      <c r="AF319" s="23">
        <f t="shared" si="165"/>
        <v>251447.73858601437</v>
      </c>
      <c r="AG319" s="23">
        <f t="shared" si="165"/>
        <v>9607709.874768354</v>
      </c>
      <c r="AH319" s="23">
        <f t="shared" si="165"/>
        <v>1371.8440247854742</v>
      </c>
      <c r="AI319" s="23">
        <f t="shared" si="165"/>
        <v>14.943670000465502</v>
      </c>
      <c r="AJ319" s="23">
        <f t="shared" si="165"/>
        <v>1.8750684988720758</v>
      </c>
      <c r="AK319" s="23">
        <f t="shared" si="165"/>
        <v>13485238.269045547</v>
      </c>
      <c r="AL319" s="23">
        <f t="shared" si="165"/>
        <v>2011.0776297322143</v>
      </c>
      <c r="AM319" s="23">
        <f t="shared" si="165"/>
        <v>1.39958</v>
      </c>
      <c r="AN319" s="23">
        <f t="shared" si="165"/>
        <v>19.893828141120892</v>
      </c>
      <c r="AO319" s="23">
        <f t="shared" si="165"/>
        <v>3.3212726187773205</v>
      </c>
    </row>
    <row r="320" spans="1:41">
      <c r="AC320" s="23">
        <f t="shared" ref="AC320:AO320" si="166">C292</f>
        <v>1.5306945000000001</v>
      </c>
      <c r="AD320" s="23">
        <f t="shared" si="166"/>
        <v>2199.9120000000003</v>
      </c>
      <c r="AE320" s="23">
        <f t="shared" si="166"/>
        <v>14.552441554646412</v>
      </c>
      <c r="AF320" s="23">
        <f t="shared" si="166"/>
        <v>266291.50288304343</v>
      </c>
      <c r="AG320" s="23">
        <f t="shared" si="166"/>
        <v>10523468.064834367</v>
      </c>
      <c r="AH320" s="23">
        <f t="shared" si="166"/>
        <v>1502.6012526951788</v>
      </c>
      <c r="AI320" s="23">
        <f t="shared" si="166"/>
        <v>15.455629601873575</v>
      </c>
      <c r="AJ320" s="23">
        <f t="shared" si="166"/>
        <v>2.0493671473052788</v>
      </c>
      <c r="AK320" s="23">
        <f t="shared" si="166"/>
        <v>14749586.14346372</v>
      </c>
      <c r="AL320" s="23">
        <f t="shared" si="166"/>
        <v>2199.6320944222857</v>
      </c>
      <c r="AM320" s="23">
        <f t="shared" si="166"/>
        <v>1.5306945000000001</v>
      </c>
      <c r="AN320" s="23">
        <f t="shared" si="166"/>
        <v>20.54612838618738</v>
      </c>
      <c r="AO320" s="23">
        <f t="shared" si="166"/>
        <v>2.6938953502907657</v>
      </c>
    </row>
    <row r="321" spans="29:41">
      <c r="AC321" s="23">
        <f t="shared" ref="AC321:AO321" si="167">C293</f>
        <v>1.5995200000000001</v>
      </c>
      <c r="AD321" s="23">
        <f t="shared" si="167"/>
        <v>2318.9457000000002</v>
      </c>
      <c r="AE321" s="23">
        <f t="shared" si="167"/>
        <v>15.294913283366991</v>
      </c>
      <c r="AF321" s="23">
        <f t="shared" si="167"/>
        <v>274908.67720030993</v>
      </c>
      <c r="AG321" s="23">
        <f t="shared" si="167"/>
        <v>11069119.523640854</v>
      </c>
      <c r="AH321" s="23">
        <f t="shared" si="167"/>
        <v>1580.5125102000447</v>
      </c>
      <c r="AI321" s="23">
        <f t="shared" si="167"/>
        <v>15.74743235024339</v>
      </c>
      <c r="AJ321" s="23">
        <f t="shared" si="167"/>
        <v>2.1407889198130445</v>
      </c>
      <c r="AK321" s="23">
        <f t="shared" si="167"/>
        <v>15502116.272564605</v>
      </c>
      <c r="AL321" s="23">
        <f t="shared" si="167"/>
        <v>2311.8582613868675</v>
      </c>
      <c r="AM321" s="23">
        <f t="shared" si="167"/>
        <v>1.5995200000000001</v>
      </c>
      <c r="AN321" s="23">
        <f t="shared" si="167"/>
        <v>20.91751135706069</v>
      </c>
      <c r="AO321" s="23">
        <f t="shared" si="167"/>
        <v>1.4396581779053801</v>
      </c>
    </row>
    <row r="322" spans="29:41">
      <c r="AC322" s="23">
        <f t="shared" ref="AC322:AO322" si="168">C294</f>
        <v>1.6924459599999999</v>
      </c>
      <c r="AD322" s="23">
        <f t="shared" si="168"/>
        <v>2489.1311999999998</v>
      </c>
      <c r="AE322" s="23">
        <f t="shared" si="168"/>
        <v>16.356443945592691</v>
      </c>
      <c r="AF322" s="23">
        <f t="shared" si="168"/>
        <v>286971.81552088883</v>
      </c>
      <c r="AG322" s="23">
        <f t="shared" si="168"/>
        <v>11849977.259773513</v>
      </c>
      <c r="AH322" s="23">
        <f t="shared" si="168"/>
        <v>1692.0078744524722</v>
      </c>
      <c r="AI322" s="23">
        <f t="shared" si="168"/>
        <v>16.149660393883664</v>
      </c>
      <c r="AJ322" s="23">
        <f t="shared" si="168"/>
        <v>2.2640922337988165</v>
      </c>
      <c r="AK322" s="23">
        <f t="shared" si="168"/>
        <v>16578027.684930105</v>
      </c>
      <c r="AL322" s="23">
        <f t="shared" si="168"/>
        <v>2472.3108587433267</v>
      </c>
      <c r="AM322" s="23">
        <f t="shared" si="168"/>
        <v>1.6924459599999999</v>
      </c>
      <c r="AN322" s="23">
        <f t="shared" si="168"/>
        <v>21.428959639595075</v>
      </c>
      <c r="AO322" s="23">
        <f t="shared" si="168"/>
        <v>1.9913066463106235</v>
      </c>
    </row>
    <row r="323" spans="29:41">
      <c r="AC323" s="23">
        <f t="shared" ref="AC323:AO323" si="169">C295</f>
        <v>1.7994600000000001</v>
      </c>
      <c r="AD323" s="23">
        <f t="shared" si="169"/>
        <v>2704.1226000000001</v>
      </c>
      <c r="AE323" s="23">
        <f t="shared" si="169"/>
        <v>17.697451042054094</v>
      </c>
      <c r="AF323" s="23">
        <f t="shared" si="169"/>
        <v>301815.27543488558</v>
      </c>
      <c r="AG323" s="23">
        <f t="shared" si="169"/>
        <v>12837561.895150622</v>
      </c>
      <c r="AH323" s="23">
        <f t="shared" si="169"/>
        <v>1833.0208958471469</v>
      </c>
      <c r="AI323" s="23">
        <f t="shared" si="169"/>
        <v>16.635139859898526</v>
      </c>
      <c r="AJ323" s="23">
        <f t="shared" si="169"/>
        <v>2.4059115049155211</v>
      </c>
      <c r="AK323" s="23">
        <f t="shared" si="169"/>
        <v>17937201.649929665</v>
      </c>
      <c r="AL323" s="23">
        <f t="shared" si="169"/>
        <v>2675.0069082851574</v>
      </c>
      <c r="AM323" s="23">
        <f t="shared" si="169"/>
        <v>1.7994600000000001</v>
      </c>
      <c r="AN323" s="23">
        <f t="shared" si="169"/>
        <v>22.045550376896784</v>
      </c>
      <c r="AO323" s="23">
        <f t="shared" si="169"/>
        <v>2.3591834098552509</v>
      </c>
    </row>
    <row r="324" spans="29:41">
      <c r="AC324" s="23">
        <f t="shared" ref="AC324:AO324" si="170">C296</f>
        <v>1.8890484999999999</v>
      </c>
      <c r="AD324" s="23">
        <f t="shared" si="170"/>
        <v>2912.0950499999999</v>
      </c>
      <c r="AE324" s="23">
        <f t="shared" si="170"/>
        <v>18.994677495384149</v>
      </c>
      <c r="AF324" s="23">
        <f t="shared" si="170"/>
        <v>315793.20969788538</v>
      </c>
      <c r="AG324" s="23">
        <f t="shared" si="170"/>
        <v>13794037.214325631</v>
      </c>
      <c r="AH324" s="23">
        <f t="shared" si="170"/>
        <v>1969.5919499267818</v>
      </c>
      <c r="AI324" s="23">
        <f t="shared" si="170"/>
        <v>17.083377128976746</v>
      </c>
      <c r="AJ324" s="23">
        <f t="shared" si="170"/>
        <v>2.5245045214961883</v>
      </c>
      <c r="AK324" s="23">
        <f t="shared" si="170"/>
        <v>19252001.867413603</v>
      </c>
      <c r="AL324" s="23">
        <f t="shared" si="170"/>
        <v>2871.0854213258481</v>
      </c>
      <c r="AM324" s="23">
        <f t="shared" si="170"/>
        <v>1.8890484999999999</v>
      </c>
      <c r="AN324" s="23">
        <f t="shared" si="170"/>
        <v>22.614166183277273</v>
      </c>
      <c r="AO324" s="23">
        <f t="shared" si="170"/>
        <v>2.0259692271105325</v>
      </c>
    </row>
    <row r="325" spans="29:41">
      <c r="AC325" s="23">
        <f t="shared" ref="AC325:AO325" si="171">C297</f>
        <v>1.9993999999999998</v>
      </c>
      <c r="AD325" s="23">
        <f t="shared" si="171"/>
        <v>3243.7164000000002</v>
      </c>
      <c r="AE325" s="23">
        <f t="shared" si="171"/>
        <v>21.06316294963074</v>
      </c>
      <c r="AF325" s="23">
        <f t="shared" si="171"/>
        <v>337390.96775044757</v>
      </c>
      <c r="AG325" s="23">
        <f t="shared" si="171"/>
        <v>15321300.224845903</v>
      </c>
      <c r="AH325" s="23">
        <f t="shared" si="171"/>
        <v>2187.6633575439669</v>
      </c>
      <c r="AI325" s="23">
        <f t="shared" si="171"/>
        <v>17.760177146749509</v>
      </c>
      <c r="AJ325" s="23">
        <f t="shared" si="171"/>
        <v>2.6703431346356687</v>
      </c>
      <c r="AK325" s="23">
        <f t="shared" si="171"/>
        <v>21348509.472638831</v>
      </c>
      <c r="AL325" s="23">
        <f t="shared" si="171"/>
        <v>3183.7413582085806</v>
      </c>
      <c r="AM325" s="23">
        <f t="shared" si="171"/>
        <v>1.9993999999999998</v>
      </c>
      <c r="AN325" s="23">
        <f t="shared" si="171"/>
        <v>23.471539618341769</v>
      </c>
      <c r="AO325" s="23">
        <f t="shared" si="171"/>
        <v>2.5901196041934402</v>
      </c>
    </row>
    <row r="326" spans="29:41">
      <c r="AC326" s="23">
        <f t="shared" ref="AC326:AO326" si="172">C298</f>
        <v>2.1024613799999998</v>
      </c>
      <c r="AD326" s="23">
        <f t="shared" si="172"/>
        <v>3948.9766500000001</v>
      </c>
      <c r="AE326" s="23">
        <f t="shared" si="172"/>
        <v>25.462217982074552</v>
      </c>
      <c r="AF326" s="23">
        <f t="shared" si="172"/>
        <v>380935.93604804686</v>
      </c>
      <c r="AG326" s="23">
        <f t="shared" si="172"/>
        <v>18577008.050584164</v>
      </c>
      <c r="AH326" s="23">
        <f t="shared" si="172"/>
        <v>2652.5320693889353</v>
      </c>
      <c r="AI326" s="23">
        <f t="shared" si="172"/>
        <v>19.072558141967281</v>
      </c>
      <c r="AJ326" s="23">
        <f t="shared" si="172"/>
        <v>2.8061378083652144</v>
      </c>
      <c r="AK326" s="23">
        <f t="shared" si="172"/>
        <v>25807159.308628149</v>
      </c>
      <c r="AL326" s="23">
        <f t="shared" si="172"/>
        <v>3848.6677997959564</v>
      </c>
      <c r="AM326" s="23">
        <f t="shared" si="172"/>
        <v>2.1024613799999998</v>
      </c>
      <c r="AN326" s="23">
        <f t="shared" si="172"/>
        <v>25.130187564694303</v>
      </c>
      <c r="AO326" s="23">
        <f t="shared" si="172"/>
        <v>2.5899518100762338</v>
      </c>
    </row>
    <row r="327" spans="29:41">
      <c r="AC327" s="23">
        <f t="shared" ref="AC327:AO327" si="173">C299</f>
        <v>2.4912600899999999</v>
      </c>
      <c r="AD327" s="23">
        <f t="shared" si="173"/>
        <v>4100.4129000000003</v>
      </c>
      <c r="AE327" s="23">
        <f t="shared" si="173"/>
        <v>26.406800351004204</v>
      </c>
      <c r="AF327" s="23">
        <f t="shared" si="173"/>
        <v>389920.84803212457</v>
      </c>
      <c r="AG327" s="23">
        <f t="shared" si="173"/>
        <v>19277309.648442719</v>
      </c>
      <c r="AH327" s="23">
        <f t="shared" si="173"/>
        <v>2752.5251643238771</v>
      </c>
      <c r="AI327" s="23">
        <f t="shared" si="173"/>
        <v>19.335485863294473</v>
      </c>
      <c r="AJ327" s="23">
        <f t="shared" si="173"/>
        <v>3.3181266475193629</v>
      </c>
      <c r="AK327" s="23">
        <f t="shared" si="173"/>
        <v>26764538.107767016</v>
      </c>
      <c r="AL327" s="23">
        <f t="shared" si="173"/>
        <v>3991.4434160877331</v>
      </c>
      <c r="AM327" s="23">
        <f t="shared" si="173"/>
        <v>2.4912600899999999</v>
      </c>
      <c r="AN327" s="23">
        <f t="shared" si="173"/>
        <v>25.461897652977246</v>
      </c>
      <c r="AO327" s="23">
        <f t="shared" si="173"/>
        <v>9.899552961629583</v>
      </c>
    </row>
    <row r="328" spans="29:41">
      <c r="AC328" s="23">
        <f t="shared" ref="AC328:AO328" si="174">C300</f>
        <v>2.8674933400000002</v>
      </c>
      <c r="AD328" s="23">
        <f t="shared" si="174"/>
        <v>4239.9265500000001</v>
      </c>
      <c r="AE328" s="23">
        <f t="shared" si="174"/>
        <v>27.277015600094316</v>
      </c>
      <c r="AF328" s="23">
        <f t="shared" si="174"/>
        <v>398096.48340726865</v>
      </c>
      <c r="AG328" s="23">
        <f t="shared" si="174"/>
        <v>19922828.780491497</v>
      </c>
      <c r="AH328" s="23">
        <f t="shared" si="174"/>
        <v>2844.6961033173825</v>
      </c>
      <c r="AI328" s="23">
        <f t="shared" si="174"/>
        <v>19.572566793428042</v>
      </c>
      <c r="AJ328" s="23">
        <f t="shared" si="174"/>
        <v>3.8133137717040224</v>
      </c>
      <c r="AK328" s="23">
        <f t="shared" si="174"/>
        <v>27646542.322084606</v>
      </c>
      <c r="AL328" s="23">
        <f t="shared" si="174"/>
        <v>4122.9782854460345</v>
      </c>
      <c r="AM328" s="23">
        <f t="shared" si="174"/>
        <v>2.8674933400000002</v>
      </c>
      <c r="AN328" s="23">
        <f t="shared" si="174"/>
        <v>25.760836032832774</v>
      </c>
      <c r="AO328" s="23">
        <f t="shared" si="174"/>
        <v>9.6920830633497896</v>
      </c>
    </row>
    <row r="329" spans="29:41">
      <c r="AC329" s="23">
        <f t="shared" ref="AC329:AO329" si="175">C301</f>
        <v>2.9990999999999999</v>
      </c>
      <c r="AD329" s="23">
        <f t="shared" si="175"/>
        <v>4279.1557499999999</v>
      </c>
      <c r="AE329" s="23">
        <f t="shared" si="175"/>
        <v>27.521707413759906</v>
      </c>
      <c r="AF329" s="23">
        <f t="shared" si="175"/>
        <v>400378.35875873588</v>
      </c>
      <c r="AG329" s="23">
        <f t="shared" si="175"/>
        <v>20104398.675775707</v>
      </c>
      <c r="AH329" s="23">
        <f t="shared" si="175"/>
        <v>2870.6216985637725</v>
      </c>
      <c r="AI329" s="23">
        <f t="shared" si="175"/>
        <v>19.638378012558171</v>
      </c>
      <c r="AJ329" s="23">
        <f t="shared" si="175"/>
        <v>3.9865060292157843</v>
      </c>
      <c r="AK329" s="23">
        <f t="shared" si="175"/>
        <v>27894549.020528231</v>
      </c>
      <c r="AL329" s="23">
        <f t="shared" si="175"/>
        <v>4159.9639689044798</v>
      </c>
      <c r="AM329" s="23">
        <f t="shared" si="175"/>
        <v>2.9990999999999999</v>
      </c>
      <c r="AN329" s="23">
        <f t="shared" si="175"/>
        <v>25.843791050272866</v>
      </c>
      <c r="AO329" s="23">
        <f t="shared" si="175"/>
        <v>3.4012150218642949</v>
      </c>
    </row>
    <row r="330" spans="29:41">
      <c r="AC330" s="23">
        <f t="shared" ref="AC330:AO330" si="176">C302</f>
        <v>3.1154497000000001</v>
      </c>
      <c r="AD330" s="23">
        <f t="shared" si="176"/>
        <v>4307.6161499999998</v>
      </c>
      <c r="AE330" s="23">
        <f t="shared" si="176"/>
        <v>27.699228925634937</v>
      </c>
      <c r="AF330" s="23">
        <f t="shared" si="176"/>
        <v>402029.2677265192</v>
      </c>
      <c r="AG330" s="23">
        <f t="shared" si="176"/>
        <v>20236141.907263488</v>
      </c>
      <c r="AH330" s="23">
        <f t="shared" si="176"/>
        <v>2889.432755818927</v>
      </c>
      <c r="AI330" s="23">
        <f t="shared" si="176"/>
        <v>19.685895159794846</v>
      </c>
      <c r="AJ330" s="23">
        <f t="shared" si="176"/>
        <v>4.1396047462080867</v>
      </c>
      <c r="AK330" s="23">
        <f t="shared" si="176"/>
        <v>28074475.448810756</v>
      </c>
      <c r="AL330" s="23">
        <f t="shared" si="176"/>
        <v>4186.796719648828</v>
      </c>
      <c r="AM330" s="23">
        <f t="shared" si="176"/>
        <v>3.1154497000000001</v>
      </c>
      <c r="AN330" s="23">
        <f t="shared" si="176"/>
        <v>25.903679096805178</v>
      </c>
      <c r="AO330" s="23">
        <f t="shared" si="176"/>
        <v>3.0138852918095593</v>
      </c>
    </row>
    <row r="331" spans="29:41">
      <c r="AC331" s="23">
        <f t="shared" ref="AC331:AO331" si="177">C303</f>
        <v>3.3127674099999997</v>
      </c>
      <c r="AD331" s="23">
        <f t="shared" si="177"/>
        <v>1727.33475</v>
      </c>
      <c r="AE331" s="23">
        <f t="shared" si="177"/>
        <v>11.604744828748478</v>
      </c>
      <c r="AF331" s="23">
        <f t="shared" si="177"/>
        <v>230380.19258005751</v>
      </c>
      <c r="AG331" s="23">
        <f t="shared" si="177"/>
        <v>8361771.5359784821</v>
      </c>
      <c r="AH331" s="23">
        <f t="shared" si="177"/>
        <v>1193.9417738486386</v>
      </c>
      <c r="AI331" s="23">
        <f t="shared" si="177"/>
        <v>14.19509433074867</v>
      </c>
      <c r="AJ331" s="23">
        <f t="shared" si="177"/>
        <v>4.402855537090093</v>
      </c>
      <c r="AK331" s="23">
        <f t="shared" si="177"/>
        <v>11761956.430595672</v>
      </c>
      <c r="AL331" s="23">
        <f t="shared" si="177"/>
        <v>1754.0815204070295</v>
      </c>
      <c r="AM331" s="23">
        <f t="shared" si="177"/>
        <v>3.3127674099999997</v>
      </c>
      <c r="AN331" s="23">
        <f t="shared" si="177"/>
        <v>18.938339641253105</v>
      </c>
      <c r="AO331" s="23">
        <f t="shared" si="177"/>
        <v>3.7368698092142774</v>
      </c>
    </row>
    <row r="332" spans="29:41">
      <c r="AC332" s="23">
        <f t="shared" ref="AC332:AO332" si="178">C304</f>
        <v>3.4771873000000002</v>
      </c>
      <c r="AD332" s="23">
        <f t="shared" si="178"/>
        <v>273.73905000000002</v>
      </c>
      <c r="AE332" s="23">
        <f t="shared" si="178"/>
        <v>2.5379535566986351</v>
      </c>
      <c r="AF332" s="23">
        <f t="shared" si="178"/>
        <v>87085.912140456305</v>
      </c>
      <c r="AG332" s="23">
        <f t="shared" si="178"/>
        <v>1785121.458071382</v>
      </c>
      <c r="AH332" s="23">
        <f t="shared" si="178"/>
        <v>254.88980309063052</v>
      </c>
      <c r="AI332" s="23">
        <f t="shared" si="178"/>
        <v>8.0168727081617206</v>
      </c>
      <c r="AJ332" s="23">
        <f t="shared" si="178"/>
        <v>4.6275728708383568</v>
      </c>
      <c r="AK332" s="23">
        <f t="shared" si="178"/>
        <v>2572335.6779732029</v>
      </c>
      <c r="AL332" s="23">
        <f t="shared" si="178"/>
        <v>383.61690637596575</v>
      </c>
      <c r="AM332" s="23">
        <f t="shared" si="178"/>
        <v>3.4771873000000002</v>
      </c>
      <c r="AN332" s="23">
        <f t="shared" si="178"/>
        <v>10.956887636753185</v>
      </c>
      <c r="AO332" s="23">
        <f t="shared" si="178"/>
        <v>1.8015302599773237</v>
      </c>
    </row>
    <row r="333" spans="29:41">
      <c r="AC333" s="23">
        <f t="shared" ref="AC333:AO333" si="179">C305</f>
        <v>3.6645926000000002</v>
      </c>
      <c r="AD333" s="23">
        <f t="shared" si="179"/>
        <v>22.499099999999999</v>
      </c>
      <c r="AE333" s="23">
        <f t="shared" si="179"/>
        <v>0.97084642653153408</v>
      </c>
      <c r="AF333" s="23">
        <f t="shared" si="179"/>
        <v>47081.977909461319</v>
      </c>
      <c r="AG333" s="23">
        <f t="shared" si="179"/>
        <v>672527.89239083568</v>
      </c>
      <c r="AH333" s="23">
        <f t="shared" si="179"/>
        <v>96.027286744393663</v>
      </c>
      <c r="AI333" s="23">
        <f t="shared" si="179"/>
        <v>5.5865118485979304</v>
      </c>
      <c r="AJ333" s="23">
        <f t="shared" si="179"/>
        <v>4.8876417730688138</v>
      </c>
      <c r="AK333" s="23">
        <f t="shared" si="179"/>
        <v>983998.66073530156</v>
      </c>
      <c r="AL333" s="23">
        <f t="shared" si="179"/>
        <v>146.74536010905322</v>
      </c>
      <c r="AM333" s="23">
        <f t="shared" si="179"/>
        <v>3.6645926000000002</v>
      </c>
      <c r="AN333" s="23">
        <f t="shared" si="179"/>
        <v>7.7525982656963528</v>
      </c>
      <c r="AO333" s="23">
        <f t="shared" si="179"/>
        <v>1.4528780037623046</v>
      </c>
    </row>
    <row r="334" spans="29:41" ht="15.75" thickBot="1">
      <c r="AC334" s="24">
        <f t="shared" ref="AC334:AO334" si="180">C306</f>
        <v>3.9987999999999997</v>
      </c>
      <c r="AD334" s="24">
        <f t="shared" si="180"/>
        <v>0</v>
      </c>
      <c r="AE334" s="24">
        <f t="shared" si="180"/>
        <v>0.8305084745762713</v>
      </c>
      <c r="AF334" s="24">
        <f t="shared" si="180"/>
        <v>42604.80282071454</v>
      </c>
      <c r="AG334" s="24">
        <f t="shared" si="180"/>
        <v>573888.52334541443</v>
      </c>
      <c r="AH334" s="24">
        <f t="shared" si="180"/>
        <v>81.942989602358978</v>
      </c>
      <c r="AI334" s="24">
        <f t="shared" si="180"/>
        <v>5.2681011203064214</v>
      </c>
      <c r="AJ334" s="24">
        <f t="shared" si="180"/>
        <v>5.3525839132949651</v>
      </c>
      <c r="AK334" s="24">
        <f t="shared" si="180"/>
        <v>841759.52486324974</v>
      </c>
      <c r="AL334" s="24">
        <f t="shared" si="180"/>
        <v>125.53298283141913</v>
      </c>
      <c r="AM334" s="24">
        <f t="shared" si="180"/>
        <v>3.9987999999999997</v>
      </c>
      <c r="AN334" s="24">
        <f t="shared" si="180"/>
        <v>7.3288688694596722</v>
      </c>
      <c r="AO334" s="24">
        <f t="shared" si="180"/>
        <v>2.4493622098030525</v>
      </c>
    </row>
  </sheetData>
  <mergeCells count="41">
    <mergeCell ref="AC301:AF301"/>
    <mergeCell ref="AG301:AJ301"/>
    <mergeCell ref="AK301:AN301"/>
    <mergeCell ref="AO301:AO302"/>
    <mergeCell ref="AG251:AJ251"/>
    <mergeCell ref="AO251:AO252"/>
    <mergeCell ref="AK251:AN251"/>
    <mergeCell ref="AC251:AF251"/>
    <mergeCell ref="AJ300:AO300"/>
    <mergeCell ref="AJ250:AO250"/>
    <mergeCell ref="D55:K55"/>
    <mergeCell ref="L55:S55"/>
    <mergeCell ref="T55:AA55"/>
    <mergeCell ref="T107:AA107"/>
    <mergeCell ref="A221:Q221"/>
    <mergeCell ref="A107:A108"/>
    <mergeCell ref="B107:B108"/>
    <mergeCell ref="C107:C108"/>
    <mergeCell ref="D107:K107"/>
    <mergeCell ref="A159:A160"/>
    <mergeCell ref="B159:I159"/>
    <mergeCell ref="A106:AA106"/>
    <mergeCell ref="V159:V160"/>
    <mergeCell ref="K222:O222"/>
    <mergeCell ref="G222:J222"/>
    <mergeCell ref="A1:AA1"/>
    <mergeCell ref="A2:A3"/>
    <mergeCell ref="B2:B3"/>
    <mergeCell ref="C2:C3"/>
    <mergeCell ref="L2:S2"/>
    <mergeCell ref="D2:K2"/>
    <mergeCell ref="T2:AA2"/>
    <mergeCell ref="A54:AA54"/>
    <mergeCell ref="A55:A56"/>
    <mergeCell ref="B55:B56"/>
    <mergeCell ref="C55:C56"/>
    <mergeCell ref="G273:J273"/>
    <mergeCell ref="Q273:U273"/>
    <mergeCell ref="K273:N273"/>
    <mergeCell ref="A272:U272"/>
    <mergeCell ref="L107:S107"/>
  </mergeCells>
  <pageMargins left="0.70866141732283472" right="0.70866141732283472" top="0.74803149606299213" bottom="0.74803149606299213" header="0.31496062992125984" footer="0.31496062992125984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61"/>
  <sheetViews>
    <sheetView zoomScale="80" zoomScaleNormal="80" workbookViewId="0">
      <selection activeCell="K6" sqref="K6"/>
    </sheetView>
  </sheetViews>
  <sheetFormatPr defaultRowHeight="15"/>
  <cols>
    <col min="2" max="2" width="14.5703125" customWidth="1"/>
    <col min="3" max="3" width="18.5703125" customWidth="1"/>
    <col min="4" max="4" width="13.140625" customWidth="1"/>
    <col min="12" max="12" width="12.7109375" customWidth="1"/>
    <col min="20" max="20" width="13.85546875" customWidth="1"/>
    <col min="27" max="27" width="14" customWidth="1"/>
  </cols>
  <sheetData>
    <row r="1" spans="1:46" ht="21.75" thickBot="1">
      <c r="A1" s="221" t="s">
        <v>51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3"/>
      <c r="AF1" s="227" t="s">
        <v>102</v>
      </c>
      <c r="AG1" s="213"/>
      <c r="AH1" s="213"/>
      <c r="AI1" s="213"/>
      <c r="AJ1" s="228"/>
      <c r="AK1" s="73" t="s">
        <v>103</v>
      </c>
      <c r="AL1" s="74"/>
      <c r="AM1" s="74"/>
      <c r="AN1" s="74"/>
      <c r="AO1" s="75"/>
    </row>
    <row r="2" spans="1:46" ht="15.75" thickBot="1">
      <c r="A2" s="204" t="s">
        <v>0</v>
      </c>
      <c r="B2" s="204" t="s">
        <v>5</v>
      </c>
      <c r="C2" s="204" t="s">
        <v>6</v>
      </c>
      <c r="D2" s="209" t="s">
        <v>18</v>
      </c>
      <c r="E2" s="210"/>
      <c r="F2" s="210"/>
      <c r="G2" s="210"/>
      <c r="H2" s="210"/>
      <c r="I2" s="210"/>
      <c r="J2" s="210"/>
      <c r="K2" s="211"/>
      <c r="L2" s="209" t="s">
        <v>41</v>
      </c>
      <c r="M2" s="210"/>
      <c r="N2" s="210"/>
      <c r="O2" s="210"/>
      <c r="P2" s="210"/>
      <c r="Q2" s="210"/>
      <c r="R2" s="210"/>
      <c r="S2" s="211"/>
      <c r="T2" s="209" t="s">
        <v>42</v>
      </c>
      <c r="U2" s="210"/>
      <c r="V2" s="210"/>
      <c r="W2" s="210"/>
      <c r="X2" s="210"/>
      <c r="Y2" s="210"/>
      <c r="Z2" s="210"/>
      <c r="AA2" s="211"/>
      <c r="AF2" s="13" t="s">
        <v>98</v>
      </c>
      <c r="AG2" s="8" t="s">
        <v>99</v>
      </c>
      <c r="AH2" s="8" t="s">
        <v>60</v>
      </c>
      <c r="AI2" s="8" t="s">
        <v>100</v>
      </c>
      <c r="AJ2" s="60" t="s">
        <v>101</v>
      </c>
      <c r="AK2" s="13" t="s">
        <v>98</v>
      </c>
      <c r="AL2" s="8" t="s">
        <v>104</v>
      </c>
      <c r="AM2" s="8" t="s">
        <v>60</v>
      </c>
      <c r="AN2" s="8" t="s">
        <v>100</v>
      </c>
      <c r="AO2" s="60" t="s">
        <v>101</v>
      </c>
      <c r="AP2" s="4" t="s">
        <v>98</v>
      </c>
      <c r="AQ2" s="4" t="s">
        <v>104</v>
      </c>
      <c r="AR2" s="4" t="s">
        <v>60</v>
      </c>
      <c r="AS2" s="4" t="s">
        <v>100</v>
      </c>
      <c r="AT2" s="4" t="s">
        <v>101</v>
      </c>
    </row>
    <row r="3" spans="1:46" ht="15.75" thickBot="1">
      <c r="A3" s="217"/>
      <c r="B3" s="217"/>
      <c r="C3" s="217"/>
      <c r="D3" s="19" t="s">
        <v>19</v>
      </c>
      <c r="E3" s="12" t="s">
        <v>8</v>
      </c>
      <c r="F3" s="12" t="s">
        <v>7</v>
      </c>
      <c r="G3" s="12" t="s">
        <v>9</v>
      </c>
      <c r="H3" s="12" t="s">
        <v>10</v>
      </c>
      <c r="I3" s="12" t="s">
        <v>13</v>
      </c>
      <c r="J3" s="11" t="s">
        <v>12</v>
      </c>
      <c r="K3" s="17" t="s">
        <v>11</v>
      </c>
      <c r="L3" s="19" t="s">
        <v>19</v>
      </c>
      <c r="M3" s="12" t="s">
        <v>8</v>
      </c>
      <c r="N3" s="12" t="s">
        <v>7</v>
      </c>
      <c r="O3" s="12" t="s">
        <v>9</v>
      </c>
      <c r="P3" s="12" t="s">
        <v>10</v>
      </c>
      <c r="Q3" s="12" t="s">
        <v>13</v>
      </c>
      <c r="R3" s="11" t="s">
        <v>12</v>
      </c>
      <c r="S3" s="17" t="s">
        <v>11</v>
      </c>
      <c r="T3" s="19" t="s">
        <v>19</v>
      </c>
      <c r="U3" s="12" t="s">
        <v>8</v>
      </c>
      <c r="V3" s="12" t="s">
        <v>7</v>
      </c>
      <c r="W3" s="12" t="s">
        <v>9</v>
      </c>
      <c r="X3" s="12" t="s">
        <v>10</v>
      </c>
      <c r="Y3" s="12" t="s">
        <v>13</v>
      </c>
      <c r="Z3" s="11" t="s">
        <v>12</v>
      </c>
      <c r="AA3" s="17" t="s">
        <v>11</v>
      </c>
      <c r="AB3" s="166" t="s">
        <v>112</v>
      </c>
      <c r="AC3" s="166" t="s">
        <v>113</v>
      </c>
      <c r="AD3" s="166" t="s">
        <v>114</v>
      </c>
      <c r="AF3" s="167">
        <f>B4</f>
        <v>0</v>
      </c>
      <c r="AG3" s="8">
        <f>C4</f>
        <v>224817.99</v>
      </c>
      <c r="AH3" s="8">
        <f>E4</f>
        <v>0</v>
      </c>
      <c r="AI3" s="168">
        <f>I4</f>
        <v>9</v>
      </c>
      <c r="AJ3" s="169">
        <f>J4</f>
        <v>0</v>
      </c>
      <c r="AK3" s="13">
        <f>AF3</f>
        <v>0</v>
      </c>
      <c r="AL3" s="8">
        <f>AG3</f>
        <v>224817.99</v>
      </c>
      <c r="AM3" s="8">
        <f>M4</f>
        <v>0</v>
      </c>
      <c r="AN3" s="168">
        <f>Q4</f>
        <v>12</v>
      </c>
      <c r="AO3" s="169">
        <f>R4</f>
        <v>0</v>
      </c>
      <c r="AP3">
        <f>AK3</f>
        <v>0</v>
      </c>
      <c r="AQ3">
        <f>AL3</f>
        <v>224817.99</v>
      </c>
      <c r="AR3">
        <f>U4</f>
        <v>0</v>
      </c>
      <c r="AS3" s="57">
        <f>Y4</f>
        <v>13</v>
      </c>
      <c r="AT3" s="57">
        <f>Z4</f>
        <v>0</v>
      </c>
    </row>
    <row r="4" spans="1:46" ht="15.75" thickBot="1">
      <c r="A4" s="22">
        <v>108912.4</v>
      </c>
      <c r="B4" s="23">
        <v>0</v>
      </c>
      <c r="C4" s="73">
        <f>A4*2+785.39+6207.8</f>
        <v>224817.99</v>
      </c>
      <c r="D4" s="110">
        <f>((0.79*(10^(-3)/98066.5^0.603)*1700*C4*(0.95*324.38*2818)^0.5)/(957*0.652*0.96))^(1/(1-0.603))</f>
        <v>5071779.6964545073</v>
      </c>
      <c r="E4" s="81">
        <v>0</v>
      </c>
      <c r="F4" s="81">
        <v>0</v>
      </c>
      <c r="G4" s="81">
        <v>0</v>
      </c>
      <c r="H4" s="81">
        <v>0</v>
      </c>
      <c r="I4" s="82">
        <v>9</v>
      </c>
      <c r="J4" s="82">
        <v>0</v>
      </c>
      <c r="K4" s="111"/>
      <c r="L4" s="86">
        <f>((0.853*(10^(-3)/98066.5^0.606)*1700*C4*(0.95*324.38*2858)^0.5)/(957*0.652*0.96))^(1/(1-0.606))</f>
        <v>6464722.9239824135</v>
      </c>
      <c r="M4" s="87">
        <v>0</v>
      </c>
      <c r="N4" s="87">
        <v>0</v>
      </c>
      <c r="O4" s="87">
        <v>0</v>
      </c>
      <c r="P4" s="87">
        <v>0</v>
      </c>
      <c r="Q4" s="88">
        <v>12</v>
      </c>
      <c r="R4" s="88">
        <v>0</v>
      </c>
      <c r="S4" s="87"/>
      <c r="T4" s="98">
        <f>((0.859*(10^(-3)/98066.5^0.613)*1700*C4*(0.95*324.38*2908)^0.5)/(957*0.652*0.96))^(1/(1-0.613))</f>
        <v>7261890.9882499008</v>
      </c>
      <c r="U4" s="99">
        <v>0</v>
      </c>
      <c r="V4" s="99">
        <f>1*0.95*U4*957*((0.293-(0.098/AC5))/0.178)</f>
        <v>0</v>
      </c>
      <c r="W4" s="99">
        <v>0</v>
      </c>
      <c r="X4" s="99">
        <v>0</v>
      </c>
      <c r="Y4" s="100">
        <v>13</v>
      </c>
      <c r="Z4" s="100">
        <v>0</v>
      </c>
      <c r="AA4" s="101"/>
      <c r="AB4">
        <f>C4*10^(-9)*1700*Y4</f>
        <v>4.968477579</v>
      </c>
      <c r="AC4">
        <f>W4*1000/AB4</f>
        <v>0</v>
      </c>
      <c r="AD4">
        <f>AC4/0.92</f>
        <v>0</v>
      </c>
      <c r="AF4" s="167">
        <f t="shared" ref="AF4:AF25" si="0">B5</f>
        <v>2.5</v>
      </c>
      <c r="AG4" s="8">
        <f t="shared" ref="AG4:AG25" si="1">C5</f>
        <v>244878.6</v>
      </c>
      <c r="AH4" s="8">
        <f t="shared" ref="AH4:AH25" si="2">E5</f>
        <v>6.290150961673179</v>
      </c>
      <c r="AI4" s="168">
        <f t="shared" ref="AI4:AI25" si="3">I5</f>
        <v>9.7165120132010578</v>
      </c>
      <c r="AJ4" s="169">
        <f t="shared" ref="AJ4:AJ25" si="4">J5</f>
        <v>0.27777777777777779</v>
      </c>
      <c r="AK4" s="13">
        <f t="shared" ref="AK4:AL25" si="5">AF4</f>
        <v>2.5</v>
      </c>
      <c r="AL4" s="8">
        <f t="shared" si="5"/>
        <v>244878.6</v>
      </c>
      <c r="AM4" s="8">
        <f t="shared" ref="AM4:AM25" si="6">M5</f>
        <v>8.0308689270780675</v>
      </c>
      <c r="AN4" s="168">
        <f t="shared" ref="AN4:AN25" si="7">Q5</f>
        <v>12.31833830555054</v>
      </c>
      <c r="AO4" s="169">
        <f t="shared" ref="AO4:AO25" si="8">R5</f>
        <v>0.20833333333333334</v>
      </c>
      <c r="AP4">
        <f t="shared" ref="AP4:AQ25" si="9">AK4</f>
        <v>2.5</v>
      </c>
      <c r="AQ4">
        <f t="shared" si="9"/>
        <v>244878.6</v>
      </c>
      <c r="AR4">
        <f t="shared" ref="AR4:AR25" si="10">U5</f>
        <v>9.0566263708775931</v>
      </c>
      <c r="AS4" s="57">
        <f t="shared" ref="AS4:AS25" si="11">Y5</f>
        <v>13.771841448098204</v>
      </c>
      <c r="AT4" s="57">
        <f t="shared" ref="AT4:AT25" si="12">Z5</f>
        <v>0.19230769230769232</v>
      </c>
    </row>
    <row r="5" spans="1:46" ht="15.75" thickBot="1">
      <c r="A5" s="22">
        <v>122439.3</v>
      </c>
      <c r="B5" s="23">
        <v>2.5</v>
      </c>
      <c r="C5" s="13">
        <f>A5*2</f>
        <v>244878.6</v>
      </c>
      <c r="D5" s="110">
        <f t="shared" ref="D5:D24" si="13">((0.79*(10^(-3)/98066.5^0.603)*1700*C5*(0.95*324.38*2818)^0.5)/(957*0.652*0.96))^(1/(1-0.603))</f>
        <v>6290150.9616731796</v>
      </c>
      <c r="E5" s="80">
        <f t="shared" ref="E5:E25" si="14">D5*10^(-6)</f>
        <v>6.290150961673179</v>
      </c>
      <c r="F5" s="80">
        <f>1*0.95*E5*957*((0.1016-(0.098/E5))/0.056)</f>
        <v>8784.3264263465226</v>
      </c>
      <c r="G5" s="80">
        <f>F5*10^(-3)*0.965</f>
        <v>8.4768750014243945</v>
      </c>
      <c r="H5" s="80">
        <f>G5*101.972</f>
        <v>864.40389764524832</v>
      </c>
      <c r="I5" s="83">
        <f>0.79*((E5/0.098)^0.603)</f>
        <v>9.7165120132010578</v>
      </c>
      <c r="J5" s="83">
        <f>J4+2.5/I4</f>
        <v>0.27777777777777779</v>
      </c>
      <c r="K5" s="113">
        <f>(F5+0)/2*J5</f>
        <v>1220.0453369925726</v>
      </c>
      <c r="L5" s="86">
        <f t="shared" ref="L5:L26" si="15">((0.853*(10^(-3)/98066.5^0.606)*1700*C5*(0.95*324.38*2858)^0.5)/(957*0.652*0.96))^(1/(1-0.606))</f>
        <v>8030868.9270780683</v>
      </c>
      <c r="M5" s="91">
        <f t="shared" ref="M5:M25" si="16">L5*10^(-6)</f>
        <v>8.0308689270780675</v>
      </c>
      <c r="N5" s="91">
        <f>1*0.95*M5*957*((0.1016-(0.098/M5))/0.056)</f>
        <v>11655.567351453345</v>
      </c>
      <c r="O5" s="91">
        <f>N5*10^(-3)*0.965</f>
        <v>11.247622494152477</v>
      </c>
      <c r="P5" s="91">
        <f>O5*101.972</f>
        <v>1146.9425609737164</v>
      </c>
      <c r="Q5" s="92">
        <f>0.853*((M5/0.098)^0.606)</f>
        <v>12.31833830555054</v>
      </c>
      <c r="R5" s="92">
        <f>R4+2.5/Q4</f>
        <v>0.20833333333333334</v>
      </c>
      <c r="S5" s="174">
        <f>(N5+0)/2*R5</f>
        <v>1214.1215991097235</v>
      </c>
      <c r="T5" s="98">
        <f t="shared" ref="T5:T26" si="17">((0.859*(10^(-3)/98066.5^0.613)*1700*C5*(0.95*324.38*2908)^0.5)/(957*0.652*0.96))^(1/(1-0.613))</f>
        <v>9056626.3708775938</v>
      </c>
      <c r="U5" s="103">
        <f t="shared" ref="U5:U25" si="18">T5*10^(-6)</f>
        <v>9.0566263708775931</v>
      </c>
      <c r="V5" s="103">
        <f>1*0.95*U5*957*((0.1016-(0.098/U5))/0.056)</f>
        <v>13347.511026651244</v>
      </c>
      <c r="W5" s="103">
        <f>V5*10^(-3)*0.965</f>
        <v>12.88034814071845</v>
      </c>
      <c r="X5" s="103">
        <f>W5*101.972</f>
        <v>1313.4348606053418</v>
      </c>
      <c r="Y5" s="104">
        <f>0.859*((U5/0.098)^0.613)</f>
        <v>13.771841448098204</v>
      </c>
      <c r="Z5" s="104">
        <f>Z4+2.5/Y4</f>
        <v>0.19230769230769232</v>
      </c>
      <c r="AA5" s="105">
        <f>(V5+0)/2*Z5</f>
        <v>1283.414521793389</v>
      </c>
      <c r="AB5">
        <f t="shared" ref="AB5:AB26" si="19">C5*10^(-9)*1700*Y5</f>
        <v>5.7331297304948441</v>
      </c>
      <c r="AC5">
        <f>W5/0.965*1000/AB5</f>
        <v>2328.1369259193752</v>
      </c>
      <c r="AD5">
        <f t="shared" ref="AD5:AD26" si="20">AC5/0.92</f>
        <v>2530.5836151297558</v>
      </c>
      <c r="AF5" s="167">
        <f t="shared" si="0"/>
        <v>5</v>
      </c>
      <c r="AG5" s="8">
        <f t="shared" si="1"/>
        <v>258174</v>
      </c>
      <c r="AH5" s="8">
        <f t="shared" si="2"/>
        <v>7.1861954967386374</v>
      </c>
      <c r="AI5" s="168">
        <f t="shared" si="3"/>
        <v>10.528989228837393</v>
      </c>
      <c r="AJ5" s="169">
        <f t="shared" si="4"/>
        <v>0.53507175287948583</v>
      </c>
      <c r="AK5" s="13">
        <f t="shared" si="5"/>
        <v>5</v>
      </c>
      <c r="AL5" s="8">
        <f t="shared" si="5"/>
        <v>258174</v>
      </c>
      <c r="AM5" s="8">
        <f t="shared" si="6"/>
        <v>9.1841905901923173</v>
      </c>
      <c r="AN5" s="168">
        <f t="shared" si="7"/>
        <v>13.36191815282571</v>
      </c>
      <c r="AO5" s="169">
        <f t="shared" si="8"/>
        <v>0.41128278463014672</v>
      </c>
      <c r="AP5">
        <f t="shared" si="9"/>
        <v>5</v>
      </c>
      <c r="AQ5">
        <f t="shared" si="9"/>
        <v>258174</v>
      </c>
      <c r="AR5">
        <f t="shared" si="10"/>
        <v>10.382428084501798</v>
      </c>
      <c r="AS5" s="57">
        <f t="shared" si="11"/>
        <v>14.974861849301826</v>
      </c>
      <c r="AT5" s="57">
        <f t="shared" si="12"/>
        <v>0.37383751963120049</v>
      </c>
    </row>
    <row r="6" spans="1:46" ht="15.75" thickBot="1">
      <c r="A6" s="22">
        <v>129087</v>
      </c>
      <c r="B6" s="23">
        <v>5</v>
      </c>
      <c r="C6" s="13">
        <f t="shared" ref="C6:C13" si="21">A6*2</f>
        <v>258174</v>
      </c>
      <c r="D6" s="110">
        <f t="shared" si="13"/>
        <v>7186195.4967386378</v>
      </c>
      <c r="E6" s="80">
        <f t="shared" si="14"/>
        <v>7.1861954967386374</v>
      </c>
      <c r="F6" s="80">
        <f t="shared" ref="F6:F25" si="22">1*0.95*E6*957*((0.1016-(0.098/E6))/0.056)</f>
        <v>10262.314125060162</v>
      </c>
      <c r="G6" s="80">
        <f t="shared" ref="G6:G26" si="23">F6*10^(-3)*0.965</f>
        <v>9.9031331306830577</v>
      </c>
      <c r="H6" s="80">
        <f t="shared" ref="H6:H26" si="24">G6*101.972</f>
        <v>1009.8422916020127</v>
      </c>
      <c r="I6" s="83">
        <f t="shared" ref="I6:I26" si="25">0.79*((E6/0.098)^0.603)</f>
        <v>10.528989228837393</v>
      </c>
      <c r="J6" s="83">
        <f>J5+2.5/I5</f>
        <v>0.53507175287948583</v>
      </c>
      <c r="K6" s="113">
        <f>(F6+F5)/2*(J6-J5)</f>
        <v>2450.2929299024072</v>
      </c>
      <c r="L6" s="86">
        <f t="shared" si="15"/>
        <v>9184190.590192318</v>
      </c>
      <c r="M6" s="91">
        <f t="shared" si="16"/>
        <v>9.1841905901923173</v>
      </c>
      <c r="N6" s="91">
        <f t="shared" ref="N6:N25" si="26">1*0.95*M6*957*((0.1016-(0.098/M6))/0.056)</f>
        <v>13557.922830490212</v>
      </c>
      <c r="O6" s="91">
        <f t="shared" ref="O6:O26" si="27">N6*10^(-3)*0.965</f>
        <v>13.083395531423054</v>
      </c>
      <c r="P6" s="91">
        <f t="shared" ref="P6:P26" si="28">O6*101.972</f>
        <v>1334.1400091302717</v>
      </c>
      <c r="Q6" s="92">
        <f t="shared" ref="Q6:Q26" si="29">0.853*((M6/0.098)^0.606)</f>
        <v>13.36191815282571</v>
      </c>
      <c r="R6" s="92">
        <f t="shared" ref="R6:R26" si="30">R5+2.5/Q5</f>
        <v>0.41128278463014672</v>
      </c>
      <c r="S6" s="174">
        <f>(N6+N5)/2*(R6-R5)</f>
        <v>2558.531998851518</v>
      </c>
      <c r="T6" s="98">
        <f t="shared" si="17"/>
        <v>10382428.084501799</v>
      </c>
      <c r="U6" s="103">
        <f t="shared" si="18"/>
        <v>10.382428084501798</v>
      </c>
      <c r="V6" s="103">
        <f t="shared" ref="V6:V25" si="31">1*0.95*U6*957*((0.1016-(0.098/U6))/0.056)</f>
        <v>15534.365080202153</v>
      </c>
      <c r="W6" s="103">
        <f t="shared" ref="W6:W26" si="32">V6*10^(-3)*0.965</f>
        <v>14.990662302395078</v>
      </c>
      <c r="X6" s="103">
        <f t="shared" ref="X6:X26" si="33">W6*101.972</f>
        <v>1528.6278162998308</v>
      </c>
      <c r="Y6" s="104">
        <f t="shared" ref="Y6:Y26" si="34">0.859*((U6/0.098)^0.613)</f>
        <v>14.974861849301826</v>
      </c>
      <c r="Z6" s="104">
        <f t="shared" ref="Z6:Z26" si="35">Z5+2.5/Y5</f>
        <v>0.37383751963120049</v>
      </c>
      <c r="AA6" s="105">
        <f>(V6+V5)/2*(Z6-Z5)</f>
        <v>2621.4609912280266</v>
      </c>
      <c r="AB6">
        <f t="shared" si="19"/>
        <v>6.5724039712388045</v>
      </c>
      <c r="AC6">
        <f t="shared" ref="AC6:AC26" si="36">W6/0.965*1000/AB6</f>
        <v>2363.5742946083924</v>
      </c>
      <c r="AD6">
        <f t="shared" si="20"/>
        <v>2569.1024941395567</v>
      </c>
      <c r="AF6" s="167">
        <f t="shared" si="0"/>
        <v>7.5</v>
      </c>
      <c r="AG6" s="8">
        <f t="shared" si="1"/>
        <v>284984.8</v>
      </c>
      <c r="AH6" s="8">
        <f t="shared" si="2"/>
        <v>9.2168525257587159</v>
      </c>
      <c r="AI6" s="168">
        <f t="shared" si="3"/>
        <v>12.233792180905525</v>
      </c>
      <c r="AJ6" s="169">
        <f t="shared" si="4"/>
        <v>0.77251144871969601</v>
      </c>
      <c r="AK6" s="13">
        <f t="shared" si="5"/>
        <v>7.5</v>
      </c>
      <c r="AL6" s="8">
        <f t="shared" si="5"/>
        <v>284984.8</v>
      </c>
      <c r="AM6" s="8">
        <f t="shared" si="6"/>
        <v>11.801778791354113</v>
      </c>
      <c r="AN6" s="168">
        <f t="shared" si="7"/>
        <v>15.554863207194394</v>
      </c>
      <c r="AO6" s="169">
        <f t="shared" si="8"/>
        <v>0.59838167053907687</v>
      </c>
      <c r="AP6">
        <f t="shared" si="9"/>
        <v>7.5</v>
      </c>
      <c r="AQ6">
        <f t="shared" si="9"/>
        <v>284984.8</v>
      </c>
      <c r="AR6">
        <f t="shared" si="10"/>
        <v>13.402178582897172</v>
      </c>
      <c r="AS6" s="57">
        <f t="shared" si="11"/>
        <v>17.511772234716393</v>
      </c>
      <c r="AT6" s="57">
        <f t="shared" si="12"/>
        <v>0.54078396796297978</v>
      </c>
    </row>
    <row r="7" spans="1:46" ht="15.75" thickBot="1">
      <c r="A7" s="22">
        <v>142492.4</v>
      </c>
      <c r="B7" s="23">
        <v>7.5</v>
      </c>
      <c r="C7" s="13">
        <f t="shared" si="21"/>
        <v>284984.8</v>
      </c>
      <c r="D7" s="110">
        <f t="shared" si="13"/>
        <v>9216852.5257587172</v>
      </c>
      <c r="E7" s="80">
        <f t="shared" si="14"/>
        <v>9.2168525257587159</v>
      </c>
      <c r="F7" s="80">
        <f t="shared" si="22"/>
        <v>13611.797316739701</v>
      </c>
      <c r="G7" s="80">
        <f t="shared" si="23"/>
        <v>13.135384410653812</v>
      </c>
      <c r="H7" s="80">
        <f t="shared" si="24"/>
        <v>1339.4414191231904</v>
      </c>
      <c r="I7" s="83">
        <f t="shared" si="25"/>
        <v>12.233792180905525</v>
      </c>
      <c r="J7" s="83">
        <f t="shared" ref="J7:J26" si="37">J6+2.5/I6</f>
        <v>0.77251144871969601</v>
      </c>
      <c r="K7" s="113">
        <f t="shared" ref="K7:K26" si="38">(F7+F6)/2*(J7-J6)</f>
        <v>2834.3308795981206</v>
      </c>
      <c r="L7" s="86">
        <f t="shared" si="15"/>
        <v>11801778.791354114</v>
      </c>
      <c r="M7" s="91">
        <f t="shared" si="16"/>
        <v>11.801778791354113</v>
      </c>
      <c r="N7" s="91">
        <f t="shared" si="26"/>
        <v>17875.524255660974</v>
      </c>
      <c r="O7" s="91">
        <f t="shared" si="27"/>
        <v>17.249880906712839</v>
      </c>
      <c r="P7" s="91">
        <f t="shared" si="28"/>
        <v>1759.0048558193216</v>
      </c>
      <c r="Q7" s="92">
        <f t="shared" si="29"/>
        <v>15.554863207194394</v>
      </c>
      <c r="R7" s="92">
        <f t="shared" si="30"/>
        <v>0.59838167053907687</v>
      </c>
      <c r="S7" s="174">
        <f t="shared" ref="S7:S26" si="39">(N7+N6)/2*(R7-R6)</f>
        <v>2940.581465048097</v>
      </c>
      <c r="T7" s="98">
        <f t="shared" si="17"/>
        <v>13402178.582897171</v>
      </c>
      <c r="U7" s="103">
        <f t="shared" si="18"/>
        <v>13.402178582897172</v>
      </c>
      <c r="V7" s="103">
        <f t="shared" si="31"/>
        <v>20515.316266391459</v>
      </c>
      <c r="W7" s="103">
        <f t="shared" si="32"/>
        <v>19.797280197067757</v>
      </c>
      <c r="X7" s="103">
        <f t="shared" si="33"/>
        <v>2018.7682562553932</v>
      </c>
      <c r="Y7" s="104">
        <f t="shared" si="34"/>
        <v>17.511772234716393</v>
      </c>
      <c r="Z7" s="104">
        <f t="shared" si="35"/>
        <v>0.54078396796297978</v>
      </c>
      <c r="AA7" s="105">
        <f t="shared" ref="AA7:AA26" si="40">(V7+V6)/2*(Z7-Z6)</f>
        <v>3009.1831321530995</v>
      </c>
      <c r="AB7">
        <f t="shared" si="19"/>
        <v>8.484001143525548</v>
      </c>
      <c r="AC7">
        <f t="shared" si="36"/>
        <v>2418.1180458759659</v>
      </c>
      <c r="AD7">
        <f t="shared" si="20"/>
        <v>2628.3891802999628</v>
      </c>
      <c r="AF7" s="167">
        <f t="shared" si="0"/>
        <v>10</v>
      </c>
      <c r="AG7" s="8">
        <f t="shared" si="1"/>
        <v>304382.2</v>
      </c>
      <c r="AH7" s="8">
        <f t="shared" si="2"/>
        <v>10.879696522670802</v>
      </c>
      <c r="AI7" s="168">
        <f t="shared" si="3"/>
        <v>13.520653616360811</v>
      </c>
      <c r="AJ7" s="169">
        <f t="shared" si="4"/>
        <v>0.97686345691401488</v>
      </c>
      <c r="AK7" s="13">
        <f t="shared" si="5"/>
        <v>10</v>
      </c>
      <c r="AL7" s="8">
        <f t="shared" si="5"/>
        <v>304382.2</v>
      </c>
      <c r="AM7" s="8">
        <f t="shared" si="6"/>
        <v>13.948583165602695</v>
      </c>
      <c r="AN7" s="168">
        <f t="shared" si="7"/>
        <v>17.212789892316103</v>
      </c>
      <c r="AO7" s="169">
        <f t="shared" si="8"/>
        <v>0.75910310966068262</v>
      </c>
      <c r="AP7">
        <f t="shared" si="9"/>
        <v>10</v>
      </c>
      <c r="AQ7">
        <f t="shared" si="9"/>
        <v>304382.2</v>
      </c>
      <c r="AR7">
        <f t="shared" si="10"/>
        <v>15.888060711223812</v>
      </c>
      <c r="AS7" s="57">
        <f t="shared" si="11"/>
        <v>19.436946327225513</v>
      </c>
      <c r="AT7" s="57">
        <f t="shared" si="12"/>
        <v>0.68354507554773059</v>
      </c>
    </row>
    <row r="8" spans="1:46" ht="15.75" thickBot="1">
      <c r="A8" s="22">
        <v>152191.1</v>
      </c>
      <c r="B8" s="23">
        <v>10</v>
      </c>
      <c r="C8" s="13">
        <f t="shared" si="21"/>
        <v>304382.2</v>
      </c>
      <c r="D8" s="110">
        <f t="shared" si="13"/>
        <v>10879696.522670802</v>
      </c>
      <c r="E8" s="80">
        <f t="shared" si="14"/>
        <v>10.879696522670802</v>
      </c>
      <c r="F8" s="80">
        <f t="shared" si="22"/>
        <v>16354.588412649173</v>
      </c>
      <c r="G8" s="80">
        <f t="shared" si="23"/>
        <v>15.782177818206449</v>
      </c>
      <c r="H8" s="80">
        <f t="shared" si="24"/>
        <v>1609.340236478148</v>
      </c>
      <c r="I8" s="83">
        <f t="shared" si="25"/>
        <v>13.520653616360811</v>
      </c>
      <c r="J8" s="83">
        <f t="shared" si="37"/>
        <v>0.97686345691401488</v>
      </c>
      <c r="K8" s="113">
        <f t="shared" si="38"/>
        <v>3061.8455510630974</v>
      </c>
      <c r="L8" s="86">
        <f t="shared" si="15"/>
        <v>13948583.165602695</v>
      </c>
      <c r="M8" s="91">
        <f t="shared" si="16"/>
        <v>13.948583165602695</v>
      </c>
      <c r="N8" s="91">
        <f t="shared" si="26"/>
        <v>21416.587598513946</v>
      </c>
      <c r="O8" s="91">
        <f t="shared" si="27"/>
        <v>20.667007032565959</v>
      </c>
      <c r="P8" s="91">
        <f t="shared" si="28"/>
        <v>2107.4560411248158</v>
      </c>
      <c r="Q8" s="92">
        <f t="shared" si="29"/>
        <v>17.212789892316103</v>
      </c>
      <c r="R8" s="92">
        <f t="shared" si="30"/>
        <v>0.75910310966068262</v>
      </c>
      <c r="S8" s="174">
        <f t="shared" si="39"/>
        <v>3157.5423816650487</v>
      </c>
      <c r="T8" s="98">
        <f t="shared" si="17"/>
        <v>15888060.711223813</v>
      </c>
      <c r="U8" s="103">
        <f t="shared" si="18"/>
        <v>15.888060711223812</v>
      </c>
      <c r="V8" s="103">
        <f t="shared" si="31"/>
        <v>24615.674074890845</v>
      </c>
      <c r="W8" s="103">
        <f t="shared" si="32"/>
        <v>23.754125482269664</v>
      </c>
      <c r="X8" s="103">
        <f t="shared" si="33"/>
        <v>2422.2556836780022</v>
      </c>
      <c r="Y8" s="104">
        <f t="shared" si="34"/>
        <v>19.436946327225513</v>
      </c>
      <c r="Z8" s="104">
        <f t="shared" si="35"/>
        <v>0.68354507554773059</v>
      </c>
      <c r="AA8" s="105">
        <f t="shared" si="40"/>
        <v>3221.4750837590764</v>
      </c>
      <c r="AB8">
        <f t="shared" si="19"/>
        <v>10.057642823416799</v>
      </c>
      <c r="AC8">
        <f t="shared" si="36"/>
        <v>2447.4595595678916</v>
      </c>
      <c r="AD8">
        <f t="shared" si="20"/>
        <v>2660.2821299650996</v>
      </c>
      <c r="AF8" s="167">
        <f t="shared" si="0"/>
        <v>12.5</v>
      </c>
      <c r="AG8" s="8">
        <f t="shared" si="1"/>
        <v>321099.2</v>
      </c>
      <c r="AH8" s="8">
        <f t="shared" si="2"/>
        <v>12.448166124332374</v>
      </c>
      <c r="AI8" s="168">
        <f t="shared" si="3"/>
        <v>14.664467893974537</v>
      </c>
      <c r="AJ8" s="169">
        <f t="shared" si="4"/>
        <v>1.1617657605256426</v>
      </c>
      <c r="AK8" s="13">
        <f t="shared" si="5"/>
        <v>12.5</v>
      </c>
      <c r="AL8" s="8">
        <f t="shared" si="5"/>
        <v>321099.2</v>
      </c>
      <c r="AM8" s="8">
        <f t="shared" si="6"/>
        <v>15.975852232429455</v>
      </c>
      <c r="AN8" s="168">
        <f t="shared" si="7"/>
        <v>18.688103662006995</v>
      </c>
      <c r="AO8" s="169">
        <f t="shared" si="8"/>
        <v>0.90434394601783907</v>
      </c>
      <c r="AP8">
        <f t="shared" si="9"/>
        <v>12.5</v>
      </c>
      <c r="AQ8">
        <f t="shared" si="9"/>
        <v>321099.2</v>
      </c>
      <c r="AR8">
        <f t="shared" si="10"/>
        <v>18.241931390137278</v>
      </c>
      <c r="AS8" s="57">
        <f t="shared" si="11"/>
        <v>21.154754554391321</v>
      </c>
      <c r="AT8" s="57">
        <f t="shared" si="12"/>
        <v>0.81216610263253697</v>
      </c>
    </row>
    <row r="9" spans="1:46" ht="15.75" thickBot="1">
      <c r="A9" s="22">
        <v>160549.6</v>
      </c>
      <c r="B9" s="23">
        <v>12.5</v>
      </c>
      <c r="C9" s="13">
        <f t="shared" si="21"/>
        <v>321099.2</v>
      </c>
      <c r="D9" s="110">
        <f t="shared" si="13"/>
        <v>12448166.124332374</v>
      </c>
      <c r="E9" s="80">
        <f t="shared" si="14"/>
        <v>12.448166124332374</v>
      </c>
      <c r="F9" s="80">
        <f t="shared" si="22"/>
        <v>18941.712920799579</v>
      </c>
      <c r="G9" s="80">
        <f t="shared" si="23"/>
        <v>18.278752968571592</v>
      </c>
      <c r="H9" s="80">
        <f t="shared" si="24"/>
        <v>1863.9209977111823</v>
      </c>
      <c r="I9" s="83">
        <f t="shared" si="25"/>
        <v>14.664467893974537</v>
      </c>
      <c r="J9" s="83">
        <f t="shared" si="37"/>
        <v>1.1617657605256426</v>
      </c>
      <c r="K9" s="113">
        <f t="shared" si="38"/>
        <v>3263.1837127624208</v>
      </c>
      <c r="L9" s="86">
        <f t="shared" si="15"/>
        <v>15975852.232429456</v>
      </c>
      <c r="M9" s="91">
        <f t="shared" si="16"/>
        <v>15.975852232429455</v>
      </c>
      <c r="N9" s="91">
        <f t="shared" si="26"/>
        <v>24760.482489334016</v>
      </c>
      <c r="O9" s="91">
        <f t="shared" si="27"/>
        <v>23.893865602207324</v>
      </c>
      <c r="P9" s="91">
        <f t="shared" si="28"/>
        <v>2436.505263188285</v>
      </c>
      <c r="Q9" s="92">
        <f t="shared" si="29"/>
        <v>18.688103662006995</v>
      </c>
      <c r="R9" s="92">
        <f t="shared" si="30"/>
        <v>0.90434394601783907</v>
      </c>
      <c r="S9" s="174">
        <f t="shared" si="39"/>
        <v>3353.3981400410353</v>
      </c>
      <c r="T9" s="98">
        <f t="shared" si="17"/>
        <v>18241931.390137278</v>
      </c>
      <c r="U9" s="103">
        <f t="shared" si="18"/>
        <v>18.241931390137278</v>
      </c>
      <c r="V9" s="103">
        <f t="shared" si="31"/>
        <v>28498.284560922853</v>
      </c>
      <c r="W9" s="103">
        <f t="shared" si="32"/>
        <v>27.500844601290552</v>
      </c>
      <c r="X9" s="103">
        <f t="shared" si="33"/>
        <v>2804.3161256828002</v>
      </c>
      <c r="Y9" s="104">
        <f t="shared" si="34"/>
        <v>21.154754554391321</v>
      </c>
      <c r="Z9" s="104">
        <f t="shared" si="35"/>
        <v>0.81216610263253697</v>
      </c>
      <c r="AA9" s="105">
        <f t="shared" si="40"/>
        <v>3415.7859561391401</v>
      </c>
      <c r="AB9">
        <f t="shared" si="19"/>
        <v>11.547717098139399</v>
      </c>
      <c r="AC9">
        <f t="shared" si="36"/>
        <v>2467.8717289943461</v>
      </c>
      <c r="AD9">
        <f t="shared" si="20"/>
        <v>2682.4692706460282</v>
      </c>
      <c r="AF9" s="167">
        <f t="shared" si="0"/>
        <v>15</v>
      </c>
      <c r="AG9" s="8">
        <f t="shared" si="1"/>
        <v>340118.6</v>
      </c>
      <c r="AH9" s="8">
        <f t="shared" si="2"/>
        <v>14.389821233342946</v>
      </c>
      <c r="AI9" s="168">
        <f t="shared" si="3"/>
        <v>16.003875826592605</v>
      </c>
      <c r="AJ9" s="169">
        <f t="shared" si="4"/>
        <v>1.3322458637298797</v>
      </c>
      <c r="AK9" s="13">
        <f t="shared" si="5"/>
        <v>15</v>
      </c>
      <c r="AL9" s="8">
        <f t="shared" si="5"/>
        <v>340118.6</v>
      </c>
      <c r="AM9" s="8">
        <f t="shared" si="6"/>
        <v>18.488146464779909</v>
      </c>
      <c r="AN9" s="168">
        <f t="shared" si="7"/>
        <v>20.417539917789735</v>
      </c>
      <c r="AO9" s="169">
        <f t="shared" si="8"/>
        <v>1.0381188889020929</v>
      </c>
      <c r="AP9">
        <f t="shared" si="9"/>
        <v>15</v>
      </c>
      <c r="AQ9">
        <f t="shared" si="9"/>
        <v>340118.6</v>
      </c>
      <c r="AR9">
        <f t="shared" si="10"/>
        <v>21.166422304459839</v>
      </c>
      <c r="AS9" s="57">
        <f t="shared" si="11"/>
        <v>23.173598084202855</v>
      </c>
      <c r="AT9" s="57">
        <f t="shared" si="12"/>
        <v>0.93034284600113581</v>
      </c>
    </row>
    <row r="10" spans="1:46" ht="15.75" thickBot="1">
      <c r="A10" s="22">
        <v>170059.3</v>
      </c>
      <c r="B10" s="23">
        <v>15</v>
      </c>
      <c r="C10" s="13">
        <f t="shared" si="21"/>
        <v>340118.6</v>
      </c>
      <c r="D10" s="110">
        <f t="shared" si="13"/>
        <v>14389821.233342947</v>
      </c>
      <c r="E10" s="80">
        <f t="shared" si="14"/>
        <v>14.389821233342946</v>
      </c>
      <c r="F10" s="80">
        <f t="shared" si="22"/>
        <v>22144.391196218643</v>
      </c>
      <c r="G10" s="80">
        <f t="shared" si="23"/>
        <v>21.369337504350987</v>
      </c>
      <c r="H10" s="80">
        <f t="shared" si="24"/>
        <v>2179.0740839936789</v>
      </c>
      <c r="I10" s="83">
        <f t="shared" si="25"/>
        <v>16.003875826592605</v>
      </c>
      <c r="J10" s="83">
        <f t="shared" si="37"/>
        <v>1.3322458637298797</v>
      </c>
      <c r="K10" s="113">
        <f t="shared" si="38"/>
        <v>3502.1816350646491</v>
      </c>
      <c r="L10" s="86">
        <f t="shared" si="15"/>
        <v>18488146.46477991</v>
      </c>
      <c r="M10" s="91">
        <f t="shared" si="16"/>
        <v>18.488146464779909</v>
      </c>
      <c r="N10" s="91">
        <f t="shared" si="26"/>
        <v>28904.405950339158</v>
      </c>
      <c r="O10" s="91">
        <f t="shared" si="27"/>
        <v>27.892751742077287</v>
      </c>
      <c r="P10" s="91">
        <f t="shared" si="28"/>
        <v>2844.2796806431052</v>
      </c>
      <c r="Q10" s="92">
        <f t="shared" si="29"/>
        <v>20.417539917789735</v>
      </c>
      <c r="R10" s="92">
        <f t="shared" si="30"/>
        <v>1.0381188889020929</v>
      </c>
      <c r="S10" s="174">
        <f t="shared" si="39"/>
        <v>3589.5086929535664</v>
      </c>
      <c r="T10" s="98">
        <f t="shared" si="17"/>
        <v>21166422.30445984</v>
      </c>
      <c r="U10" s="103">
        <f t="shared" si="18"/>
        <v>21.166422304459839</v>
      </c>
      <c r="V10" s="103">
        <f t="shared" si="31"/>
        <v>33322.109077695102</v>
      </c>
      <c r="W10" s="103">
        <f t="shared" si="32"/>
        <v>32.155835259975774</v>
      </c>
      <c r="X10" s="103">
        <f t="shared" si="33"/>
        <v>3278.9948331302494</v>
      </c>
      <c r="Y10" s="104">
        <f t="shared" si="34"/>
        <v>23.173598084202855</v>
      </c>
      <c r="Z10" s="104">
        <f t="shared" si="35"/>
        <v>0.93034284600113581</v>
      </c>
      <c r="AA10" s="105">
        <f t="shared" si="40"/>
        <v>3652.8663969883573</v>
      </c>
      <c r="AB10">
        <f t="shared" si="19"/>
        <v>13.399011953514986</v>
      </c>
      <c r="AC10">
        <f t="shared" si="36"/>
        <v>2486.9079297263897</v>
      </c>
      <c r="AD10">
        <f t="shared" si="20"/>
        <v>2703.1607931808585</v>
      </c>
      <c r="AF10" s="167">
        <f t="shared" si="0"/>
        <v>17.5</v>
      </c>
      <c r="AG10" s="8">
        <f t="shared" si="1"/>
        <v>359473.8</v>
      </c>
      <c r="AH10" s="8">
        <f t="shared" si="2"/>
        <v>16.542519115763398</v>
      </c>
      <c r="AI10" s="168">
        <f t="shared" si="3"/>
        <v>17.407426081897146</v>
      </c>
      <c r="AJ10" s="169">
        <f t="shared" si="4"/>
        <v>1.4884580230273114</v>
      </c>
      <c r="AK10" s="13">
        <f t="shared" si="5"/>
        <v>17.5</v>
      </c>
      <c r="AL10" s="8">
        <f t="shared" si="5"/>
        <v>359473.8</v>
      </c>
      <c r="AM10" s="8">
        <f t="shared" si="6"/>
        <v>21.276521741887901</v>
      </c>
      <c r="AN10" s="168">
        <f t="shared" si="7"/>
        <v>22.231758289092099</v>
      </c>
      <c r="AO10" s="169">
        <f t="shared" si="8"/>
        <v>1.1605626313934083</v>
      </c>
      <c r="AP10">
        <f t="shared" si="9"/>
        <v>17.5</v>
      </c>
      <c r="AQ10">
        <f t="shared" si="9"/>
        <v>359473.8</v>
      </c>
      <c r="AR10">
        <f t="shared" si="10"/>
        <v>24.420705468425073</v>
      </c>
      <c r="AS10" s="57">
        <f t="shared" si="11"/>
        <v>25.296903237773659</v>
      </c>
      <c r="AT10" s="57">
        <f t="shared" si="12"/>
        <v>1.0382242371824311</v>
      </c>
    </row>
    <row r="11" spans="1:46" ht="15.75" thickBot="1">
      <c r="A11" s="22">
        <v>179736.9</v>
      </c>
      <c r="B11" s="23">
        <v>17.5</v>
      </c>
      <c r="C11" s="13">
        <f t="shared" si="21"/>
        <v>359473.8</v>
      </c>
      <c r="D11" s="110">
        <f t="shared" si="13"/>
        <v>16542519.1157634</v>
      </c>
      <c r="E11" s="80">
        <f t="shared" si="14"/>
        <v>16.542519115763398</v>
      </c>
      <c r="F11" s="80">
        <f t="shared" si="22"/>
        <v>25695.175632431841</v>
      </c>
      <c r="G11" s="80">
        <f t="shared" si="23"/>
        <v>24.795844485296726</v>
      </c>
      <c r="H11" s="80">
        <f t="shared" si="24"/>
        <v>2528.4818538546774</v>
      </c>
      <c r="I11" s="83">
        <f t="shared" si="25"/>
        <v>17.407426081897146</v>
      </c>
      <c r="J11" s="83">
        <f t="shared" si="37"/>
        <v>1.4884580230273114</v>
      </c>
      <c r="K11" s="113">
        <f t="shared" si="38"/>
        <v>3736.5610170786395</v>
      </c>
      <c r="L11" s="86">
        <f t="shared" si="15"/>
        <v>21276521.741887901</v>
      </c>
      <c r="M11" s="91">
        <f t="shared" si="16"/>
        <v>21.276521741887901</v>
      </c>
      <c r="N11" s="91">
        <f t="shared" si="26"/>
        <v>33503.713459827828</v>
      </c>
      <c r="O11" s="91">
        <f t="shared" si="27"/>
        <v>32.331083488733853</v>
      </c>
      <c r="P11" s="91">
        <f t="shared" si="28"/>
        <v>3296.8652455131682</v>
      </c>
      <c r="Q11" s="92">
        <f t="shared" si="29"/>
        <v>22.231758289092099</v>
      </c>
      <c r="R11" s="92">
        <f t="shared" si="30"/>
        <v>1.1605626313934083</v>
      </c>
      <c r="S11" s="174">
        <f t="shared" si="39"/>
        <v>3820.7418512128743</v>
      </c>
      <c r="T11" s="98">
        <f t="shared" si="17"/>
        <v>24420705.468425073</v>
      </c>
      <c r="U11" s="103">
        <f t="shared" si="18"/>
        <v>24.420705468425073</v>
      </c>
      <c r="V11" s="103">
        <f t="shared" si="31"/>
        <v>38689.912011865272</v>
      </c>
      <c r="W11" s="103">
        <f t="shared" si="32"/>
        <v>37.335765091449986</v>
      </c>
      <c r="X11" s="103">
        <f t="shared" si="33"/>
        <v>3807.2026379053377</v>
      </c>
      <c r="Y11" s="104">
        <f t="shared" si="34"/>
        <v>25.296903237773659</v>
      </c>
      <c r="Z11" s="104">
        <f t="shared" si="35"/>
        <v>1.0382242371824311</v>
      </c>
      <c r="AA11" s="105">
        <f t="shared" si="40"/>
        <v>3884.3785084592732</v>
      </c>
      <c r="AB11">
        <f t="shared" si="19"/>
        <v>15.459075689695162</v>
      </c>
      <c r="AC11">
        <f t="shared" si="36"/>
        <v>2502.7312621061501</v>
      </c>
      <c r="AD11">
        <f t="shared" si="20"/>
        <v>2720.3600675066846</v>
      </c>
      <c r="AF11" s="167">
        <f t="shared" si="0"/>
        <v>20</v>
      </c>
      <c r="AG11" s="8">
        <f t="shared" si="1"/>
        <v>377460.8</v>
      </c>
      <c r="AH11" s="8">
        <f t="shared" si="2"/>
        <v>18.707414526087771</v>
      </c>
      <c r="AI11" s="168">
        <f t="shared" si="3"/>
        <v>18.747444246959517</v>
      </c>
      <c r="AJ11" s="169">
        <f t="shared" si="4"/>
        <v>1.6320748902331919</v>
      </c>
      <c r="AK11" s="13">
        <f t="shared" si="5"/>
        <v>20</v>
      </c>
      <c r="AL11" s="8">
        <f t="shared" si="5"/>
        <v>377460.8</v>
      </c>
      <c r="AM11" s="8">
        <f t="shared" si="6"/>
        <v>24.083491409162718</v>
      </c>
      <c r="AN11" s="168">
        <f t="shared" si="7"/>
        <v>23.965583883228209</v>
      </c>
      <c r="AO11" s="169">
        <f t="shared" si="8"/>
        <v>1.2730143757624812</v>
      </c>
      <c r="AP11">
        <f t="shared" si="9"/>
        <v>20</v>
      </c>
      <c r="AQ11">
        <f t="shared" si="9"/>
        <v>377460.8</v>
      </c>
      <c r="AR11">
        <f t="shared" si="10"/>
        <v>27.704510963093465</v>
      </c>
      <c r="AS11" s="57">
        <f t="shared" si="11"/>
        <v>27.330968954865657</v>
      </c>
      <c r="AT11" s="57">
        <f t="shared" si="12"/>
        <v>1.1370505629386591</v>
      </c>
    </row>
    <row r="12" spans="1:46" ht="15.75" thickBot="1">
      <c r="A12" s="22">
        <v>188730.4</v>
      </c>
      <c r="B12" s="23">
        <v>20</v>
      </c>
      <c r="C12" s="13">
        <f t="shared" si="21"/>
        <v>377460.8</v>
      </c>
      <c r="D12" s="110">
        <f t="shared" si="13"/>
        <v>18707414.526087772</v>
      </c>
      <c r="E12" s="80">
        <f t="shared" si="14"/>
        <v>18.707414526087771</v>
      </c>
      <c r="F12" s="80">
        <f t="shared" si="22"/>
        <v>29266.079376883892</v>
      </c>
      <c r="G12" s="80">
        <f t="shared" si="23"/>
        <v>28.241766598692958</v>
      </c>
      <c r="H12" s="80">
        <f t="shared" si="24"/>
        <v>2879.8694236019182</v>
      </c>
      <c r="I12" s="83">
        <f t="shared" si="25"/>
        <v>18.747444246959517</v>
      </c>
      <c r="J12" s="83">
        <f t="shared" si="37"/>
        <v>1.6320748902331919</v>
      </c>
      <c r="K12" s="113">
        <f t="shared" si="38"/>
        <v>3946.6816310707136</v>
      </c>
      <c r="L12" s="86">
        <f t="shared" si="15"/>
        <v>24083491.409162719</v>
      </c>
      <c r="M12" s="91">
        <f t="shared" si="16"/>
        <v>24.083491409162718</v>
      </c>
      <c r="N12" s="91">
        <f t="shared" si="26"/>
        <v>38133.691632275943</v>
      </c>
      <c r="O12" s="91">
        <f t="shared" si="27"/>
        <v>36.79901242514628</v>
      </c>
      <c r="P12" s="91">
        <f t="shared" si="28"/>
        <v>3752.4688950170162</v>
      </c>
      <c r="Q12" s="92">
        <f t="shared" si="29"/>
        <v>23.965583883228209</v>
      </c>
      <c r="R12" s="92">
        <f t="shared" si="30"/>
        <v>1.2730143757624812</v>
      </c>
      <c r="S12" s="174">
        <f t="shared" si="39"/>
        <v>4027.8755823404872</v>
      </c>
      <c r="T12" s="98">
        <f t="shared" si="17"/>
        <v>27704510.963093467</v>
      </c>
      <c r="U12" s="103">
        <f t="shared" si="18"/>
        <v>27.704510963093465</v>
      </c>
      <c r="V12" s="103">
        <f t="shared" si="31"/>
        <v>44106.41078637493</v>
      </c>
      <c r="W12" s="103">
        <f t="shared" si="32"/>
        <v>42.562686408851803</v>
      </c>
      <c r="X12" s="103">
        <f t="shared" si="33"/>
        <v>4340.2022584834358</v>
      </c>
      <c r="Y12" s="104">
        <f t="shared" si="34"/>
        <v>27.330968954865657</v>
      </c>
      <c r="Z12" s="104">
        <f t="shared" si="35"/>
        <v>1.1370505629386591</v>
      </c>
      <c r="AA12" s="105">
        <f t="shared" si="40"/>
        <v>4091.2281841383497</v>
      </c>
      <c r="AB12">
        <f t="shared" si="19"/>
        <v>17.537827991013884</v>
      </c>
      <c r="AC12">
        <f t="shared" si="36"/>
        <v>2514.9300591255874</v>
      </c>
      <c r="AD12">
        <f t="shared" si="20"/>
        <v>2733.6196294843339</v>
      </c>
      <c r="AF12" s="167">
        <f t="shared" si="0"/>
        <v>22.5</v>
      </c>
      <c r="AG12" s="8">
        <f t="shared" si="1"/>
        <v>394043.8</v>
      </c>
      <c r="AH12" s="8">
        <f t="shared" si="2"/>
        <v>20.847219242279497</v>
      </c>
      <c r="AI12" s="168">
        <f t="shared" si="3"/>
        <v>20.012612775923714</v>
      </c>
      <c r="AJ12" s="169">
        <f t="shared" si="4"/>
        <v>1.7654264002879798</v>
      </c>
      <c r="AK12" s="13">
        <f t="shared" si="5"/>
        <v>22.5</v>
      </c>
      <c r="AL12" s="8">
        <f t="shared" si="5"/>
        <v>394043.8</v>
      </c>
      <c r="AM12" s="8">
        <f t="shared" si="6"/>
        <v>26.860366927348053</v>
      </c>
      <c r="AN12" s="168">
        <f t="shared" si="7"/>
        <v>25.604002774736848</v>
      </c>
      <c r="AO12" s="169">
        <f t="shared" si="8"/>
        <v>1.377330632448786</v>
      </c>
      <c r="AP12">
        <f t="shared" si="9"/>
        <v>22.5</v>
      </c>
      <c r="AQ12">
        <f t="shared" si="9"/>
        <v>394043.8</v>
      </c>
      <c r="AR12">
        <f t="shared" si="10"/>
        <v>30.959947161371932</v>
      </c>
      <c r="AS12" s="57">
        <f t="shared" si="11"/>
        <v>29.257156085976241</v>
      </c>
      <c r="AT12" s="57">
        <f t="shared" si="12"/>
        <v>1.2285218899936383</v>
      </c>
    </row>
    <row r="13" spans="1:46" ht="15.75" thickBot="1">
      <c r="A13" s="22">
        <v>197021.9</v>
      </c>
      <c r="B13" s="23">
        <v>22.5</v>
      </c>
      <c r="C13" s="13">
        <f t="shared" si="21"/>
        <v>394043.8</v>
      </c>
      <c r="D13" s="110">
        <f t="shared" si="13"/>
        <v>20847219.242279496</v>
      </c>
      <c r="E13" s="80">
        <f t="shared" si="14"/>
        <v>20.847219242279497</v>
      </c>
      <c r="F13" s="80">
        <f t="shared" si="22"/>
        <v>32795.597078757673</v>
      </c>
      <c r="G13" s="80">
        <f t="shared" si="23"/>
        <v>31.647751181001155</v>
      </c>
      <c r="H13" s="80">
        <f t="shared" si="24"/>
        <v>3227.1844834290496</v>
      </c>
      <c r="I13" s="83">
        <f t="shared" si="25"/>
        <v>20.012612775923714</v>
      </c>
      <c r="J13" s="83">
        <f t="shared" si="37"/>
        <v>1.7654264002879798</v>
      </c>
      <c r="K13" s="113">
        <f t="shared" si="38"/>
        <v>4138.0091359457419</v>
      </c>
      <c r="L13" s="86">
        <f t="shared" si="15"/>
        <v>26860366.927348055</v>
      </c>
      <c r="M13" s="91">
        <f t="shared" si="16"/>
        <v>26.860366927348053</v>
      </c>
      <c r="N13" s="91">
        <f t="shared" si="26"/>
        <v>42714.030774054387</v>
      </c>
      <c r="O13" s="91">
        <f t="shared" si="27"/>
        <v>41.219039696962483</v>
      </c>
      <c r="P13" s="91">
        <f t="shared" si="28"/>
        <v>4203.1879159786577</v>
      </c>
      <c r="Q13" s="92">
        <f t="shared" si="29"/>
        <v>25.604002774736848</v>
      </c>
      <c r="R13" s="92">
        <f t="shared" si="30"/>
        <v>1.377330632448786</v>
      </c>
      <c r="S13" s="174">
        <f t="shared" si="39"/>
        <v>4216.8658815209328</v>
      </c>
      <c r="T13" s="98">
        <f t="shared" si="17"/>
        <v>30959947.161371935</v>
      </c>
      <c r="U13" s="103">
        <f t="shared" si="18"/>
        <v>30.959947161371932</v>
      </c>
      <c r="V13" s="103">
        <f t="shared" si="31"/>
        <v>49476.115602052625</v>
      </c>
      <c r="W13" s="103">
        <f t="shared" si="32"/>
        <v>47.744451555980781</v>
      </c>
      <c r="X13" s="103">
        <f t="shared" si="33"/>
        <v>4868.5972140664717</v>
      </c>
      <c r="Y13" s="104">
        <f t="shared" si="34"/>
        <v>29.257156085976241</v>
      </c>
      <c r="Z13" s="104">
        <f t="shared" si="35"/>
        <v>1.2285218899936383</v>
      </c>
      <c r="AA13" s="105">
        <f t="shared" si="40"/>
        <v>4280.0589389535389</v>
      </c>
      <c r="AB13">
        <f t="shared" si="19"/>
        <v>19.598621634229051</v>
      </c>
      <c r="AC13">
        <f t="shared" si="36"/>
        <v>2524.4691450975533</v>
      </c>
      <c r="AD13">
        <f t="shared" si="20"/>
        <v>2743.9882011929926</v>
      </c>
      <c r="AF13" s="167">
        <f t="shared" si="0"/>
        <v>25</v>
      </c>
      <c r="AG13" s="8">
        <f t="shared" si="1"/>
        <v>409427</v>
      </c>
      <c r="AH13" s="8">
        <f t="shared" si="2"/>
        <v>22.958435585880835</v>
      </c>
      <c r="AI13" s="168">
        <f t="shared" si="3"/>
        <v>21.211235674683763</v>
      </c>
      <c r="AJ13" s="169">
        <f t="shared" si="4"/>
        <v>1.8903476201202867</v>
      </c>
      <c r="AK13" s="13">
        <f t="shared" si="5"/>
        <v>25</v>
      </c>
      <c r="AL13" s="8">
        <f t="shared" si="5"/>
        <v>409427</v>
      </c>
      <c r="AM13" s="8">
        <f t="shared" si="6"/>
        <v>29.602275066191442</v>
      </c>
      <c r="AN13" s="168">
        <f t="shared" si="7"/>
        <v>27.157452819787007</v>
      </c>
      <c r="AO13" s="169">
        <f t="shared" si="8"/>
        <v>1.4749716154620638</v>
      </c>
      <c r="AP13">
        <f t="shared" si="9"/>
        <v>25</v>
      </c>
      <c r="AQ13">
        <f t="shared" si="9"/>
        <v>409427</v>
      </c>
      <c r="AR13">
        <f t="shared" si="10"/>
        <v>34.180381431352366</v>
      </c>
      <c r="AS13" s="57">
        <f t="shared" si="11"/>
        <v>31.08685747821832</v>
      </c>
      <c r="AT13" s="57">
        <f t="shared" si="12"/>
        <v>1.3139710701071601</v>
      </c>
    </row>
    <row r="14" spans="1:46" ht="15.75" thickBot="1">
      <c r="A14" s="23">
        <v>204713.5</v>
      </c>
      <c r="B14" s="23">
        <v>25</v>
      </c>
      <c r="C14" s="13">
        <f>A14*2</f>
        <v>409427</v>
      </c>
      <c r="D14" s="110">
        <f t="shared" si="13"/>
        <v>22958435.585880835</v>
      </c>
      <c r="E14" s="80">
        <f t="shared" si="14"/>
        <v>22.958435585880835</v>
      </c>
      <c r="F14" s="80">
        <f t="shared" si="22"/>
        <v>36277.959464839318</v>
      </c>
      <c r="G14" s="80">
        <f t="shared" si="23"/>
        <v>35.008230883569944</v>
      </c>
      <c r="H14" s="80">
        <f t="shared" si="24"/>
        <v>3569.8593196593943</v>
      </c>
      <c r="I14" s="83">
        <f t="shared" si="25"/>
        <v>21.211235674683763</v>
      </c>
      <c r="J14" s="83">
        <f t="shared" si="37"/>
        <v>1.8903476201202867</v>
      </c>
      <c r="K14" s="113">
        <f t="shared" si="38"/>
        <v>4314.3764707909786</v>
      </c>
      <c r="L14" s="86">
        <f t="shared" si="15"/>
        <v>29602275.066191442</v>
      </c>
      <c r="M14" s="91">
        <f t="shared" si="16"/>
        <v>29.602275066191442</v>
      </c>
      <c r="N14" s="91">
        <f t="shared" si="26"/>
        <v>47236.692697233564</v>
      </c>
      <c r="O14" s="91">
        <f t="shared" si="27"/>
        <v>45.58340845283039</v>
      </c>
      <c r="P14" s="91">
        <f t="shared" si="28"/>
        <v>4648.2313267520203</v>
      </c>
      <c r="Q14" s="92">
        <f t="shared" si="29"/>
        <v>27.157452819787007</v>
      </c>
      <c r="R14" s="92">
        <f t="shared" si="30"/>
        <v>1.4749716154620638</v>
      </c>
      <c r="S14" s="174">
        <f t="shared" si="39"/>
        <v>4391.4385312460399</v>
      </c>
      <c r="T14" s="98">
        <f t="shared" si="17"/>
        <v>34180381.431352369</v>
      </c>
      <c r="U14" s="103">
        <f t="shared" si="18"/>
        <v>34.180381431352366</v>
      </c>
      <c r="V14" s="103">
        <f t="shared" si="31"/>
        <v>54788.086212083981</v>
      </c>
      <c r="W14" s="103">
        <f t="shared" si="32"/>
        <v>52.87050319466104</v>
      </c>
      <c r="X14" s="103">
        <f t="shared" si="33"/>
        <v>5391.310951765975</v>
      </c>
      <c r="Y14" s="104">
        <f t="shared" si="34"/>
        <v>31.08685747821832</v>
      </c>
      <c r="Z14" s="104">
        <f t="shared" si="35"/>
        <v>1.3139710701071601</v>
      </c>
      <c r="AA14" s="105">
        <f t="shared" si="40"/>
        <v>4454.6452801043706</v>
      </c>
      <c r="AB14">
        <f t="shared" si="19"/>
        <v>21.637257954448639</v>
      </c>
      <c r="AC14">
        <f t="shared" si="36"/>
        <v>2532.1178093557601</v>
      </c>
      <c r="AD14">
        <f t="shared" si="20"/>
        <v>2752.3019666910436</v>
      </c>
      <c r="AF14" s="167">
        <f t="shared" si="0"/>
        <v>27.5</v>
      </c>
      <c r="AG14" s="8">
        <f t="shared" si="1"/>
        <v>426196.8</v>
      </c>
      <c r="AH14" s="8">
        <f t="shared" si="2"/>
        <v>25.401297855797115</v>
      </c>
      <c r="AI14" s="168">
        <f t="shared" si="3"/>
        <v>22.544773663863769</v>
      </c>
      <c r="AJ14" s="169">
        <f t="shared" si="4"/>
        <v>2.0082096833372742</v>
      </c>
      <c r="AK14" s="13">
        <f t="shared" si="5"/>
        <v>27.5</v>
      </c>
      <c r="AL14" s="8">
        <f t="shared" si="5"/>
        <v>426196.8</v>
      </c>
      <c r="AM14" s="8">
        <f t="shared" si="6"/>
        <v>32.777292225118515</v>
      </c>
      <c r="AN14" s="168">
        <f t="shared" si="7"/>
        <v>28.887057878582215</v>
      </c>
      <c r="AO14" s="169">
        <f t="shared" si="8"/>
        <v>1.5670273769721599</v>
      </c>
      <c r="AP14">
        <f t="shared" si="9"/>
        <v>27.5</v>
      </c>
      <c r="AQ14">
        <f t="shared" si="9"/>
        <v>426196.8</v>
      </c>
      <c r="AR14">
        <f t="shared" si="10"/>
        <v>37.916237877444189</v>
      </c>
      <c r="AS14" s="57">
        <f t="shared" si="11"/>
        <v>33.127712700588425</v>
      </c>
      <c r="AT14" s="57">
        <f t="shared" si="12"/>
        <v>1.3943909067455749</v>
      </c>
    </row>
    <row r="15" spans="1:46" ht="15.75" thickBot="1">
      <c r="A15" s="23">
        <v>213098.4</v>
      </c>
      <c r="B15" s="23">
        <v>27.5</v>
      </c>
      <c r="C15" s="13">
        <f>A15*2</f>
        <v>426196.8</v>
      </c>
      <c r="D15" s="110">
        <f t="shared" si="13"/>
        <v>25401297.855797116</v>
      </c>
      <c r="E15" s="80">
        <f t="shared" si="14"/>
        <v>25.401297855797115</v>
      </c>
      <c r="F15" s="80">
        <f t="shared" si="22"/>
        <v>40307.357829870554</v>
      </c>
      <c r="G15" s="80">
        <f t="shared" si="23"/>
        <v>38.896600305825082</v>
      </c>
      <c r="H15" s="80">
        <f t="shared" si="24"/>
        <v>3966.3641263855952</v>
      </c>
      <c r="I15" s="83">
        <f t="shared" si="25"/>
        <v>22.544773663863769</v>
      </c>
      <c r="J15" s="83">
        <f t="shared" si="37"/>
        <v>2.0082096833372742</v>
      </c>
      <c r="K15" s="113">
        <f t="shared" si="38"/>
        <v>4513.2517542410733</v>
      </c>
      <c r="L15" s="86">
        <f t="shared" si="15"/>
        <v>32777292.225118518</v>
      </c>
      <c r="M15" s="91">
        <f t="shared" si="16"/>
        <v>32.777292225118515</v>
      </c>
      <c r="N15" s="91">
        <f t="shared" si="26"/>
        <v>52473.749696589206</v>
      </c>
      <c r="O15" s="91">
        <f t="shared" si="27"/>
        <v>50.637168457208588</v>
      </c>
      <c r="P15" s="91">
        <f t="shared" si="28"/>
        <v>5163.5733419184735</v>
      </c>
      <c r="Q15" s="92">
        <f t="shared" si="29"/>
        <v>28.887057878582215</v>
      </c>
      <c r="R15" s="92">
        <f t="shared" si="30"/>
        <v>1.5670273769721599</v>
      </c>
      <c r="S15" s="174">
        <f t="shared" si="39"/>
        <v>4589.4603525359616</v>
      </c>
      <c r="T15" s="98">
        <f t="shared" si="17"/>
        <v>37916237.877444193</v>
      </c>
      <c r="U15" s="103">
        <f t="shared" si="18"/>
        <v>37.916237877444189</v>
      </c>
      <c r="V15" s="103">
        <f t="shared" si="31"/>
        <v>60950.223980247923</v>
      </c>
      <c r="W15" s="103">
        <f t="shared" si="32"/>
        <v>58.81696614093925</v>
      </c>
      <c r="X15" s="103">
        <f t="shared" si="33"/>
        <v>5997.6836713238572</v>
      </c>
      <c r="Y15" s="104">
        <f t="shared" si="34"/>
        <v>33.127712700588425</v>
      </c>
      <c r="Z15" s="104">
        <f t="shared" si="35"/>
        <v>1.3943909067455749</v>
      </c>
      <c r="AA15" s="105">
        <f t="shared" si="40"/>
        <v>4653.8279992367543</v>
      </c>
      <c r="AB15">
        <f t="shared" si="19"/>
        <v>24.002172745327247</v>
      </c>
      <c r="AC15">
        <f t="shared" si="36"/>
        <v>2539.3627746518796</v>
      </c>
      <c r="AD15">
        <f t="shared" si="20"/>
        <v>2760.1769289694344</v>
      </c>
      <c r="AF15" s="167">
        <f t="shared" si="0"/>
        <v>30</v>
      </c>
      <c r="AG15" s="8">
        <f t="shared" si="1"/>
        <v>443400.4</v>
      </c>
      <c r="AH15" s="8">
        <f t="shared" si="2"/>
        <v>28.063725101644692</v>
      </c>
      <c r="AI15" s="168">
        <f t="shared" si="3"/>
        <v>23.94139181244033</v>
      </c>
      <c r="AJ15" s="169">
        <f t="shared" si="4"/>
        <v>2.1191001290465237</v>
      </c>
      <c r="AK15" s="13">
        <f t="shared" si="5"/>
        <v>30</v>
      </c>
      <c r="AL15" s="8">
        <f t="shared" si="5"/>
        <v>443400.4</v>
      </c>
      <c r="AM15" s="8">
        <f t="shared" si="6"/>
        <v>36.240326223217068</v>
      </c>
      <c r="AN15" s="168">
        <f t="shared" si="7"/>
        <v>30.699863248065419</v>
      </c>
      <c r="AO15" s="169">
        <f t="shared" si="8"/>
        <v>1.6535713237634175</v>
      </c>
      <c r="AP15">
        <f t="shared" si="9"/>
        <v>30</v>
      </c>
      <c r="AQ15">
        <f t="shared" si="9"/>
        <v>443400.4</v>
      </c>
      <c r="AR15">
        <f t="shared" si="10"/>
        <v>41.998447739720163</v>
      </c>
      <c r="AS15" s="57">
        <f t="shared" si="11"/>
        <v>35.270657450418902</v>
      </c>
      <c r="AT15" s="57">
        <f t="shared" si="12"/>
        <v>1.4698564247725889</v>
      </c>
    </row>
    <row r="16" spans="1:46" ht="15.75" thickBot="1">
      <c r="A16" s="23">
        <v>221700.2</v>
      </c>
      <c r="B16" s="23">
        <v>30</v>
      </c>
      <c r="C16" s="13">
        <f>A16*2</f>
        <v>443400.4</v>
      </c>
      <c r="D16" s="110">
        <f t="shared" si="13"/>
        <v>28063725.101644695</v>
      </c>
      <c r="E16" s="80">
        <f t="shared" si="14"/>
        <v>28.063725101644692</v>
      </c>
      <c r="F16" s="80">
        <f t="shared" si="22"/>
        <v>44698.919369605057</v>
      </c>
      <c r="G16" s="80">
        <f t="shared" si="23"/>
        <v>43.134457191668879</v>
      </c>
      <c r="H16" s="80">
        <f t="shared" si="24"/>
        <v>4398.5068687488583</v>
      </c>
      <c r="I16" s="83">
        <f t="shared" si="25"/>
        <v>23.94139181244033</v>
      </c>
      <c r="J16" s="83">
        <f t="shared" si="37"/>
        <v>2.1191001290465237</v>
      </c>
      <c r="K16" s="113">
        <f t="shared" si="38"/>
        <v>4713.1919833669299</v>
      </c>
      <c r="L16" s="86">
        <f t="shared" si="15"/>
        <v>36240326.22321707</v>
      </c>
      <c r="M16" s="91">
        <f t="shared" si="16"/>
        <v>36.240326223217068</v>
      </c>
      <c r="N16" s="91">
        <f t="shared" si="26"/>
        <v>58185.878334305722</v>
      </c>
      <c r="O16" s="91">
        <f t="shared" si="27"/>
        <v>56.149372592605019</v>
      </c>
      <c r="P16" s="91">
        <f t="shared" si="28"/>
        <v>5725.663822013119</v>
      </c>
      <c r="Q16" s="92">
        <f t="shared" si="29"/>
        <v>30.699863248065419</v>
      </c>
      <c r="R16" s="92">
        <f t="shared" si="30"/>
        <v>1.6535713237634175</v>
      </c>
      <c r="S16" s="174">
        <f t="shared" si="39"/>
        <v>4788.460480123068</v>
      </c>
      <c r="T16" s="98">
        <f t="shared" si="17"/>
        <v>41998447.739720166</v>
      </c>
      <c r="U16" s="103">
        <f t="shared" si="18"/>
        <v>41.998447739720163</v>
      </c>
      <c r="V16" s="103">
        <f t="shared" si="31"/>
        <v>67683.657112085086</v>
      </c>
      <c r="W16" s="103">
        <f t="shared" si="32"/>
        <v>65.314729113162102</v>
      </c>
      <c r="X16" s="103">
        <f t="shared" si="33"/>
        <v>6660.2735571273652</v>
      </c>
      <c r="Y16" s="104">
        <f t="shared" si="34"/>
        <v>35.270657450418902</v>
      </c>
      <c r="Z16" s="104">
        <f t="shared" si="35"/>
        <v>1.4698564247725889</v>
      </c>
      <c r="AA16" s="105">
        <f t="shared" si="40"/>
        <v>4853.71123622912</v>
      </c>
      <c r="AB16">
        <f t="shared" si="19"/>
        <v>26.58634015702383</v>
      </c>
      <c r="AC16">
        <f t="shared" si="36"/>
        <v>2545.8057300227456</v>
      </c>
      <c r="AD16">
        <f t="shared" si="20"/>
        <v>2767.1801413290714</v>
      </c>
      <c r="AF16" s="167">
        <f t="shared" si="0"/>
        <v>32.5</v>
      </c>
      <c r="AG16" s="8">
        <f t="shared" si="1"/>
        <v>460796.4</v>
      </c>
      <c r="AH16" s="8">
        <f t="shared" si="2"/>
        <v>30.920289151157903</v>
      </c>
      <c r="AI16" s="168">
        <f t="shared" si="3"/>
        <v>25.382513522747782</v>
      </c>
      <c r="AJ16" s="169">
        <f t="shared" si="4"/>
        <v>2.2235217942356362</v>
      </c>
      <c r="AK16" s="13">
        <f t="shared" si="5"/>
        <v>32.5</v>
      </c>
      <c r="AL16" s="8">
        <f t="shared" si="5"/>
        <v>460796.4</v>
      </c>
      <c r="AM16" s="8">
        <f t="shared" si="6"/>
        <v>39.958655988703995</v>
      </c>
      <c r="AN16" s="168">
        <f t="shared" si="7"/>
        <v>32.571834384448685</v>
      </c>
      <c r="AO16" s="169">
        <f t="shared" si="8"/>
        <v>1.7350049112618093</v>
      </c>
      <c r="AP16">
        <f t="shared" si="9"/>
        <v>32.5</v>
      </c>
      <c r="AQ16">
        <f t="shared" si="9"/>
        <v>460796.4</v>
      </c>
      <c r="AR16">
        <f t="shared" si="10"/>
        <v>46.389455793288199</v>
      </c>
      <c r="AS16" s="57">
        <f t="shared" si="11"/>
        <v>37.487510177881305</v>
      </c>
      <c r="AT16" s="57">
        <f t="shared" si="12"/>
        <v>1.5407368727345905</v>
      </c>
    </row>
    <row r="17" spans="1:46" ht="15.75" thickBot="1">
      <c r="A17" s="23">
        <v>230398.2</v>
      </c>
      <c r="B17" s="23">
        <v>32.5</v>
      </c>
      <c r="C17" s="13">
        <f t="shared" ref="C17:C23" si="41">A17*2</f>
        <v>460796.4</v>
      </c>
      <c r="D17" s="110">
        <f t="shared" si="13"/>
        <v>30920289.151157904</v>
      </c>
      <c r="E17" s="80">
        <f t="shared" si="14"/>
        <v>30.920289151157903</v>
      </c>
      <c r="F17" s="80">
        <f t="shared" si="22"/>
        <v>49410.701385506443</v>
      </c>
      <c r="G17" s="80">
        <f t="shared" si="23"/>
        <v>47.681326837013714</v>
      </c>
      <c r="H17" s="80">
        <f t="shared" si="24"/>
        <v>4862.1602602239618</v>
      </c>
      <c r="I17" s="83">
        <f t="shared" si="25"/>
        <v>25.382513522747782</v>
      </c>
      <c r="J17" s="83">
        <f t="shared" si="37"/>
        <v>2.2235217942356362</v>
      </c>
      <c r="K17" s="113">
        <f t="shared" si="38"/>
        <v>4913.5416547823061</v>
      </c>
      <c r="L17" s="86">
        <f t="shared" si="15"/>
        <v>39958655.988703996</v>
      </c>
      <c r="M17" s="91">
        <f t="shared" si="16"/>
        <v>39.958655988703995</v>
      </c>
      <c r="N17" s="91">
        <f t="shared" si="26"/>
        <v>64319.106581436274</v>
      </c>
      <c r="O17" s="91">
        <f t="shared" si="27"/>
        <v>62.067937851086</v>
      </c>
      <c r="P17" s="91">
        <f t="shared" si="28"/>
        <v>6329.1917585509409</v>
      </c>
      <c r="Q17" s="92">
        <f t="shared" si="29"/>
        <v>32.571834384448685</v>
      </c>
      <c r="R17" s="92">
        <f t="shared" si="30"/>
        <v>1.7350049112618093</v>
      </c>
      <c r="S17" s="174">
        <f t="shared" si="39"/>
        <v>4988.0102040626216</v>
      </c>
      <c r="T17" s="98">
        <f t="shared" si="17"/>
        <v>46389455.793288201</v>
      </c>
      <c r="U17" s="103">
        <f t="shared" si="18"/>
        <v>46.389455793288199</v>
      </c>
      <c r="V17" s="103">
        <f t="shared" si="31"/>
        <v>74926.439846820445</v>
      </c>
      <c r="W17" s="103">
        <f t="shared" si="32"/>
        <v>72.304014452181733</v>
      </c>
      <c r="X17" s="103">
        <f t="shared" si="33"/>
        <v>7372.9849617178752</v>
      </c>
      <c r="Y17" s="104">
        <f t="shared" si="34"/>
        <v>37.487510177881305</v>
      </c>
      <c r="Z17" s="104">
        <f t="shared" si="35"/>
        <v>1.5407368727345905</v>
      </c>
      <c r="AA17" s="105">
        <f t="shared" si="40"/>
        <v>5054.1337781758484</v>
      </c>
      <c r="AB17">
        <f t="shared" si="19"/>
        <v>29.365986549382811</v>
      </c>
      <c r="AC17">
        <f t="shared" si="36"/>
        <v>2551.4702092784005</v>
      </c>
      <c r="AD17">
        <f t="shared" si="20"/>
        <v>2773.3371839982615</v>
      </c>
      <c r="AF17" s="167">
        <f t="shared" si="0"/>
        <v>35</v>
      </c>
      <c r="AG17" s="8">
        <f t="shared" si="1"/>
        <v>454929.2</v>
      </c>
      <c r="AH17" s="8">
        <f t="shared" si="2"/>
        <v>29.938169908749448</v>
      </c>
      <c r="AI17" s="168">
        <f t="shared" si="3"/>
        <v>24.893249540410281</v>
      </c>
      <c r="AJ17" s="169">
        <f t="shared" si="4"/>
        <v>2.3220147980021664</v>
      </c>
      <c r="AK17" s="13">
        <f t="shared" si="5"/>
        <v>35</v>
      </c>
      <c r="AL17" s="8">
        <f t="shared" si="5"/>
        <v>454929.2</v>
      </c>
      <c r="AM17" s="8">
        <f t="shared" si="6"/>
        <v>38.679943962106584</v>
      </c>
      <c r="AN17" s="168">
        <f t="shared" si="7"/>
        <v>31.936141661924431</v>
      </c>
      <c r="AO17" s="169">
        <f t="shared" si="8"/>
        <v>1.811758340942565</v>
      </c>
      <c r="AP17">
        <f t="shared" si="9"/>
        <v>35</v>
      </c>
      <c r="AQ17">
        <f t="shared" si="9"/>
        <v>454929.2</v>
      </c>
      <c r="AR17">
        <f t="shared" si="10"/>
        <v>44.878543116513505</v>
      </c>
      <c r="AS17" s="57">
        <f t="shared" si="11"/>
        <v>36.734263186589047</v>
      </c>
      <c r="AT17" s="57">
        <f t="shared" si="12"/>
        <v>1.6074257509272818</v>
      </c>
    </row>
    <row r="18" spans="1:46" ht="15.75" thickBot="1">
      <c r="A18" s="23">
        <v>227464.6</v>
      </c>
      <c r="B18" s="23">
        <v>35</v>
      </c>
      <c r="C18" s="13">
        <f t="shared" si="41"/>
        <v>454929.2</v>
      </c>
      <c r="D18" s="110">
        <f t="shared" si="13"/>
        <v>29938169.90874945</v>
      </c>
      <c r="E18" s="80">
        <f t="shared" si="14"/>
        <v>29.938169908749448</v>
      </c>
      <c r="F18" s="80">
        <f t="shared" si="22"/>
        <v>47790.737084464628</v>
      </c>
      <c r="G18" s="80">
        <f t="shared" si="23"/>
        <v>46.118061286508365</v>
      </c>
      <c r="H18" s="80">
        <f t="shared" si="24"/>
        <v>4702.7509455078307</v>
      </c>
      <c r="I18" s="83">
        <f t="shared" si="25"/>
        <v>24.893249540410281</v>
      </c>
      <c r="J18" s="83">
        <f t="shared" si="37"/>
        <v>2.3220147980021664</v>
      </c>
      <c r="K18" s="113">
        <f t="shared" si="38"/>
        <v>4786.8308226675035</v>
      </c>
      <c r="L18" s="86">
        <f t="shared" si="15"/>
        <v>38679943.962106586</v>
      </c>
      <c r="M18" s="91">
        <f t="shared" si="16"/>
        <v>38.679943962106584</v>
      </c>
      <c r="N18" s="91">
        <f t="shared" si="26"/>
        <v>62209.924982142111</v>
      </c>
      <c r="O18" s="91">
        <f t="shared" si="27"/>
        <v>60.032577607767138</v>
      </c>
      <c r="P18" s="91">
        <f t="shared" si="28"/>
        <v>6121.64200381923</v>
      </c>
      <c r="Q18" s="92">
        <f t="shared" si="29"/>
        <v>31.936141661924431</v>
      </c>
      <c r="R18" s="92">
        <f t="shared" si="30"/>
        <v>1.811758340942565</v>
      </c>
      <c r="S18" s="174">
        <f t="shared" si="39"/>
        <v>4855.7685633446163</v>
      </c>
      <c r="T18" s="98">
        <f t="shared" si="17"/>
        <v>44878543.116513506</v>
      </c>
      <c r="U18" s="103">
        <f t="shared" si="18"/>
        <v>44.878543116513505</v>
      </c>
      <c r="V18" s="103">
        <f t="shared" si="31"/>
        <v>72434.253060657662</v>
      </c>
      <c r="W18" s="103">
        <f t="shared" si="32"/>
        <v>69.899054203534646</v>
      </c>
      <c r="X18" s="103">
        <f t="shared" si="33"/>
        <v>7127.7463552428344</v>
      </c>
      <c r="Y18" s="104">
        <f t="shared" si="34"/>
        <v>36.734263186589047</v>
      </c>
      <c r="Z18" s="104">
        <f t="shared" si="35"/>
        <v>1.6074257509272818</v>
      </c>
      <c r="AA18" s="105">
        <f t="shared" si="40"/>
        <v>4913.6596498486988</v>
      </c>
      <c r="AB18">
        <f t="shared" si="19"/>
        <v>28.409531238909491</v>
      </c>
      <c r="AC18">
        <f t="shared" si="36"/>
        <v>2549.646189214563</v>
      </c>
      <c r="AD18">
        <f t="shared" si="20"/>
        <v>2771.3545534940899</v>
      </c>
      <c r="AF18" s="167">
        <f t="shared" si="0"/>
        <v>37.5</v>
      </c>
      <c r="AG18" s="8">
        <f t="shared" si="1"/>
        <v>465522.4</v>
      </c>
      <c r="AH18" s="8">
        <f t="shared" si="2"/>
        <v>31.725321326325918</v>
      </c>
      <c r="AI18" s="168">
        <f t="shared" si="3"/>
        <v>25.778972512301422</v>
      </c>
      <c r="AJ18" s="169">
        <f t="shared" si="4"/>
        <v>2.4224436309651609</v>
      </c>
      <c r="AK18" s="13">
        <f t="shared" si="5"/>
        <v>37.5</v>
      </c>
      <c r="AL18" s="8">
        <f t="shared" si="5"/>
        <v>465522.4</v>
      </c>
      <c r="AM18" s="8">
        <f t="shared" si="6"/>
        <v>41.007033094964299</v>
      </c>
      <c r="AN18" s="168">
        <f t="shared" si="7"/>
        <v>33.08706073417099</v>
      </c>
      <c r="AO18" s="169">
        <f t="shared" si="8"/>
        <v>1.8900395568284716</v>
      </c>
      <c r="AP18">
        <f t="shared" si="9"/>
        <v>37.5</v>
      </c>
      <c r="AQ18">
        <f t="shared" si="9"/>
        <v>465522.4</v>
      </c>
      <c r="AR18">
        <f t="shared" si="10"/>
        <v>47.628861111077846</v>
      </c>
      <c r="AS18" s="57">
        <f t="shared" si="11"/>
        <v>38.098336217694701</v>
      </c>
      <c r="AT18" s="57">
        <f t="shared" si="12"/>
        <v>1.6754821044003712</v>
      </c>
    </row>
    <row r="19" spans="1:46" ht="15.75" thickBot="1">
      <c r="A19" s="23">
        <v>232761.2</v>
      </c>
      <c r="B19" s="23">
        <v>37.5</v>
      </c>
      <c r="C19" s="13">
        <f t="shared" si="41"/>
        <v>465522.4</v>
      </c>
      <c r="D19" s="110">
        <f t="shared" si="13"/>
        <v>31725321.326325919</v>
      </c>
      <c r="E19" s="80">
        <f t="shared" si="14"/>
        <v>31.725321326325918</v>
      </c>
      <c r="F19" s="80">
        <f t="shared" si="22"/>
        <v>50738.56803209013</v>
      </c>
      <c r="G19" s="80">
        <f t="shared" si="23"/>
        <v>48.962718150966971</v>
      </c>
      <c r="H19" s="80">
        <f t="shared" si="24"/>
        <v>4992.8262952904033</v>
      </c>
      <c r="I19" s="83">
        <f t="shared" si="25"/>
        <v>25.778972512301422</v>
      </c>
      <c r="J19" s="83">
        <f t="shared" si="37"/>
        <v>2.4224436309651609</v>
      </c>
      <c r="K19" s="113">
        <f t="shared" si="38"/>
        <v>4947.5915627552004</v>
      </c>
      <c r="L19" s="86">
        <f t="shared" si="15"/>
        <v>41007033.094964303</v>
      </c>
      <c r="M19" s="91">
        <f t="shared" si="16"/>
        <v>41.007033094964299</v>
      </c>
      <c r="N19" s="91">
        <f t="shared" si="26"/>
        <v>66048.360436606017</v>
      </c>
      <c r="O19" s="91">
        <f t="shared" si="27"/>
        <v>63.736667821324808</v>
      </c>
      <c r="P19" s="91">
        <f t="shared" si="28"/>
        <v>6499.3554910761331</v>
      </c>
      <c r="Q19" s="92">
        <f t="shared" si="29"/>
        <v>33.08706073417099</v>
      </c>
      <c r="R19" s="92">
        <f t="shared" si="30"/>
        <v>1.8900395568284716</v>
      </c>
      <c r="S19" s="174">
        <f t="shared" si="39"/>
        <v>5020.1072650106198</v>
      </c>
      <c r="T19" s="98">
        <f t="shared" si="17"/>
        <v>47628861.111077845</v>
      </c>
      <c r="U19" s="103">
        <f t="shared" si="18"/>
        <v>47.628861111077846</v>
      </c>
      <c r="V19" s="103">
        <f t="shared" si="31"/>
        <v>76970.786686433232</v>
      </c>
      <c r="W19" s="103">
        <f t="shared" si="32"/>
        <v>74.276809152408063</v>
      </c>
      <c r="X19" s="103">
        <f t="shared" si="33"/>
        <v>7574.1547828893545</v>
      </c>
      <c r="Y19" s="104">
        <f t="shared" si="34"/>
        <v>38.098336217694701</v>
      </c>
      <c r="Z19" s="104">
        <f t="shared" si="35"/>
        <v>1.6754821044003712</v>
      </c>
      <c r="AA19" s="105">
        <f t="shared" si="40"/>
        <v>5083.9810978444912</v>
      </c>
      <c r="AB19">
        <f t="shared" si="19"/>
        <v>30.150569150515874</v>
      </c>
      <c r="AC19">
        <f t="shared" si="36"/>
        <v>2552.8800568302463</v>
      </c>
      <c r="AD19">
        <f t="shared" si="20"/>
        <v>2774.8696269893981</v>
      </c>
      <c r="AF19" s="167">
        <f t="shared" si="0"/>
        <v>40</v>
      </c>
      <c r="AG19" s="8">
        <f t="shared" si="1"/>
        <v>453084.4</v>
      </c>
      <c r="AH19" s="8">
        <f t="shared" si="2"/>
        <v>29.633309085114345</v>
      </c>
      <c r="AI19" s="168">
        <f t="shared" si="3"/>
        <v>24.740085639018321</v>
      </c>
      <c r="AJ19" s="169">
        <f t="shared" si="4"/>
        <v>2.5194218948896454</v>
      </c>
      <c r="AK19" s="13">
        <f t="shared" si="5"/>
        <v>40</v>
      </c>
      <c r="AL19" s="8">
        <f t="shared" si="5"/>
        <v>453084.4</v>
      </c>
      <c r="AM19" s="8">
        <f t="shared" si="6"/>
        <v>38.283081888742856</v>
      </c>
      <c r="AN19" s="168">
        <f t="shared" si="7"/>
        <v>31.737170578358349</v>
      </c>
      <c r="AO19" s="169">
        <f t="shared" si="8"/>
        <v>1.9655977945361234</v>
      </c>
      <c r="AP19">
        <f t="shared" si="9"/>
        <v>40</v>
      </c>
      <c r="AQ19">
        <f t="shared" si="9"/>
        <v>453084.4</v>
      </c>
      <c r="AR19">
        <f t="shared" si="10"/>
        <v>44.40979737998731</v>
      </c>
      <c r="AS19" s="57">
        <f t="shared" si="11"/>
        <v>36.498589283194754</v>
      </c>
      <c r="AT19" s="57">
        <f t="shared" si="12"/>
        <v>1.7411017678343581</v>
      </c>
    </row>
    <row r="20" spans="1:46" ht="15.75" thickBot="1">
      <c r="A20" s="23">
        <v>226542.2</v>
      </c>
      <c r="B20" s="23">
        <v>40</v>
      </c>
      <c r="C20" s="13">
        <f t="shared" si="41"/>
        <v>453084.4</v>
      </c>
      <c r="D20" s="110">
        <f t="shared" si="13"/>
        <v>29633309.085114345</v>
      </c>
      <c r="E20" s="80">
        <f t="shared" si="14"/>
        <v>29.633309085114345</v>
      </c>
      <c r="F20" s="80">
        <f t="shared" si="22"/>
        <v>47287.882003584658</v>
      </c>
      <c r="G20" s="80">
        <f t="shared" si="23"/>
        <v>45.632806133459191</v>
      </c>
      <c r="H20" s="80">
        <f t="shared" si="24"/>
        <v>4653.2685070411007</v>
      </c>
      <c r="I20" s="83">
        <f t="shared" si="25"/>
        <v>24.740085639018321</v>
      </c>
      <c r="J20" s="83">
        <f t="shared" si="37"/>
        <v>2.5194218948896454</v>
      </c>
      <c r="K20" s="113">
        <f t="shared" si="38"/>
        <v>4753.2174715699812</v>
      </c>
      <c r="L20" s="86">
        <f t="shared" si="15"/>
        <v>38283081.888742857</v>
      </c>
      <c r="M20" s="91">
        <f t="shared" si="16"/>
        <v>38.283081888742856</v>
      </c>
      <c r="N20" s="91">
        <f t="shared" si="26"/>
        <v>61555.31771703031</v>
      </c>
      <c r="O20" s="91">
        <f t="shared" si="27"/>
        <v>59.400881596934248</v>
      </c>
      <c r="P20" s="91">
        <f t="shared" si="28"/>
        <v>6057.2266982025785</v>
      </c>
      <c r="Q20" s="92">
        <f t="shared" si="29"/>
        <v>31.737170578358349</v>
      </c>
      <c r="R20" s="92">
        <f t="shared" si="30"/>
        <v>1.9655977945361234</v>
      </c>
      <c r="S20" s="174">
        <f t="shared" si="39"/>
        <v>4820.7545231515742</v>
      </c>
      <c r="T20" s="98">
        <f t="shared" si="17"/>
        <v>44409797.379987314</v>
      </c>
      <c r="U20" s="103">
        <f t="shared" si="18"/>
        <v>44.40979737998731</v>
      </c>
      <c r="V20" s="103">
        <f t="shared" si="31"/>
        <v>71661.076722542333</v>
      </c>
      <c r="W20" s="103">
        <f t="shared" si="32"/>
        <v>69.152939037253347</v>
      </c>
      <c r="X20" s="103">
        <f t="shared" si="33"/>
        <v>7051.663499506798</v>
      </c>
      <c r="Y20" s="104">
        <f t="shared" si="34"/>
        <v>36.498589283194754</v>
      </c>
      <c r="Z20" s="104">
        <f t="shared" si="35"/>
        <v>1.7411017678343581</v>
      </c>
      <c r="AA20" s="105">
        <f t="shared" si="40"/>
        <v>4876.5864262316481</v>
      </c>
      <c r="AB20">
        <f t="shared" si="19"/>
        <v>28.112800424578637</v>
      </c>
      <c r="AC20">
        <f t="shared" si="36"/>
        <v>2549.0550795462564</v>
      </c>
      <c r="AD20">
        <f t="shared" si="20"/>
        <v>2770.7120429850611</v>
      </c>
      <c r="AF20" s="167">
        <f t="shared" si="0"/>
        <v>42.5</v>
      </c>
      <c r="AG20" s="8">
        <f t="shared" si="1"/>
        <v>461146.6</v>
      </c>
      <c r="AH20" s="8">
        <f t="shared" si="2"/>
        <v>30.979514922627875</v>
      </c>
      <c r="AI20" s="168">
        <f t="shared" si="3"/>
        <v>25.411819358376675</v>
      </c>
      <c r="AJ20" s="169">
        <f t="shared" si="4"/>
        <v>2.6204724747654553</v>
      </c>
      <c r="AK20" s="13">
        <f t="shared" si="5"/>
        <v>42.5</v>
      </c>
      <c r="AL20" s="8">
        <f t="shared" si="5"/>
        <v>461146.6</v>
      </c>
      <c r="AM20" s="8">
        <f t="shared" si="6"/>
        <v>40.035777494778621</v>
      </c>
      <c r="AN20" s="168">
        <f t="shared" si="7"/>
        <v>32.609915920929964</v>
      </c>
      <c r="AO20" s="169">
        <f t="shared" si="8"/>
        <v>2.0443697819074473</v>
      </c>
      <c r="AP20">
        <f t="shared" si="9"/>
        <v>42.5</v>
      </c>
      <c r="AQ20">
        <f t="shared" si="9"/>
        <v>461146.6</v>
      </c>
      <c r="AR20">
        <f t="shared" si="10"/>
        <v>46.480610005099976</v>
      </c>
      <c r="AS20" s="57">
        <f t="shared" si="11"/>
        <v>37.532647888028187</v>
      </c>
      <c r="AT20" s="57">
        <f t="shared" si="12"/>
        <v>1.8095975658665053</v>
      </c>
    </row>
    <row r="21" spans="1:46" ht="15.75" thickBot="1">
      <c r="A21" s="23">
        <v>230573.3</v>
      </c>
      <c r="B21" s="23">
        <v>42.5</v>
      </c>
      <c r="C21" s="13">
        <f t="shared" si="41"/>
        <v>461146.6</v>
      </c>
      <c r="D21" s="110">
        <f t="shared" si="13"/>
        <v>30979514.922627877</v>
      </c>
      <c r="E21" s="80">
        <f t="shared" si="14"/>
        <v>30.979514922627875</v>
      </c>
      <c r="F21" s="80">
        <f t="shared" si="22"/>
        <v>49508.391799602934</v>
      </c>
      <c r="G21" s="80">
        <f t="shared" si="23"/>
        <v>47.775598086616831</v>
      </c>
      <c r="H21" s="80">
        <f t="shared" si="24"/>
        <v>4871.7732880884914</v>
      </c>
      <c r="I21" s="83">
        <f t="shared" si="25"/>
        <v>25.411819358376675</v>
      </c>
      <c r="J21" s="83">
        <f t="shared" si="37"/>
        <v>2.6204724747654553</v>
      </c>
      <c r="K21" s="113">
        <f t="shared" si="38"/>
        <v>4890.6597988148869</v>
      </c>
      <c r="L21" s="86">
        <f t="shared" si="15"/>
        <v>40035777.494778626</v>
      </c>
      <c r="M21" s="91">
        <f t="shared" si="16"/>
        <v>40.035777494778621</v>
      </c>
      <c r="N21" s="91">
        <f t="shared" si="26"/>
        <v>64446.31525558576</v>
      </c>
      <c r="O21" s="91">
        <f t="shared" si="27"/>
        <v>62.190694221640257</v>
      </c>
      <c r="P21" s="91">
        <f t="shared" si="28"/>
        <v>6341.7094711690997</v>
      </c>
      <c r="Q21" s="92">
        <f t="shared" si="29"/>
        <v>32.609915920929964</v>
      </c>
      <c r="R21" s="92">
        <f t="shared" si="30"/>
        <v>2.0443697819074473</v>
      </c>
      <c r="S21" s="174">
        <f t="shared" si="39"/>
        <v>4962.6995206425545</v>
      </c>
      <c r="T21" s="98">
        <f t="shared" si="17"/>
        <v>46480610.005099975</v>
      </c>
      <c r="U21" s="103">
        <f t="shared" si="18"/>
        <v>46.480610005099976</v>
      </c>
      <c r="V21" s="103">
        <f t="shared" si="31"/>
        <v>75076.794877705048</v>
      </c>
      <c r="W21" s="103">
        <f t="shared" si="32"/>
        <v>72.449107056985369</v>
      </c>
      <c r="X21" s="103">
        <f t="shared" si="33"/>
        <v>7387.7803448149116</v>
      </c>
      <c r="Y21" s="104">
        <f t="shared" si="34"/>
        <v>37.532647888028187</v>
      </c>
      <c r="Z21" s="104">
        <f t="shared" si="35"/>
        <v>1.8095975658665053</v>
      </c>
      <c r="AA21" s="105">
        <f t="shared" si="40"/>
        <v>5025.4638083988493</v>
      </c>
      <c r="AB21">
        <f t="shared" si="19"/>
        <v>29.423690036354344</v>
      </c>
      <c r="AC21">
        <f t="shared" si="36"/>
        <v>2551.5764604964284</v>
      </c>
      <c r="AD21">
        <f t="shared" si="20"/>
        <v>2773.4526744526393</v>
      </c>
      <c r="AF21" s="167">
        <f t="shared" si="0"/>
        <v>45</v>
      </c>
      <c r="AG21" s="8">
        <f t="shared" si="1"/>
        <v>468789.6</v>
      </c>
      <c r="AH21" s="8">
        <f t="shared" si="2"/>
        <v>32.289169425000203</v>
      </c>
      <c r="AI21" s="168">
        <f t="shared" si="3"/>
        <v>26.054279186399224</v>
      </c>
      <c r="AJ21" s="169">
        <f t="shared" si="4"/>
        <v>2.7188518928127472</v>
      </c>
      <c r="AK21" s="13">
        <f t="shared" si="5"/>
        <v>45</v>
      </c>
      <c r="AL21" s="8">
        <f t="shared" si="5"/>
        <v>468789.6</v>
      </c>
      <c r="AM21" s="8">
        <f t="shared" si="6"/>
        <v>41.741442006207166</v>
      </c>
      <c r="AN21" s="168">
        <f t="shared" si="7"/>
        <v>33.444900088467222</v>
      </c>
      <c r="AO21" s="169">
        <f t="shared" si="8"/>
        <v>2.1210335796940409</v>
      </c>
      <c r="AP21">
        <f t="shared" si="9"/>
        <v>45</v>
      </c>
      <c r="AQ21">
        <f t="shared" si="9"/>
        <v>468789.6</v>
      </c>
      <c r="AR21">
        <f t="shared" si="10"/>
        <v>48.497431404267047</v>
      </c>
      <c r="AS21" s="57">
        <f t="shared" si="11"/>
        <v>38.5227396402504</v>
      </c>
      <c r="AT21" s="57">
        <f t="shared" si="12"/>
        <v>1.8762062423302148</v>
      </c>
    </row>
    <row r="22" spans="1:46" ht="15.75" thickBot="1">
      <c r="A22" s="23">
        <v>234394.8</v>
      </c>
      <c r="B22" s="22">
        <v>45</v>
      </c>
      <c r="C22" s="13">
        <f t="shared" si="41"/>
        <v>468789.6</v>
      </c>
      <c r="D22" s="110">
        <f t="shared" si="13"/>
        <v>32289169.425000206</v>
      </c>
      <c r="E22" s="80">
        <f t="shared" si="14"/>
        <v>32.289169425000203</v>
      </c>
      <c r="F22" s="80">
        <f t="shared" si="22"/>
        <v>51668.611708683493</v>
      </c>
      <c r="G22" s="80">
        <f t="shared" si="23"/>
        <v>49.860210298879572</v>
      </c>
      <c r="H22" s="80">
        <f t="shared" si="24"/>
        <v>5084.3453645973477</v>
      </c>
      <c r="I22" s="83">
        <f t="shared" si="25"/>
        <v>26.054279186399224</v>
      </c>
      <c r="J22" s="83">
        <f t="shared" si="37"/>
        <v>2.7188518928127472</v>
      </c>
      <c r="K22" s="113">
        <f t="shared" si="38"/>
        <v>4976.8673624570147</v>
      </c>
      <c r="L22" s="86">
        <f t="shared" si="15"/>
        <v>41741442.006207168</v>
      </c>
      <c r="M22" s="91">
        <f t="shared" si="16"/>
        <v>41.741442006207166</v>
      </c>
      <c r="N22" s="91">
        <f t="shared" si="26"/>
        <v>67259.736985611307</v>
      </c>
      <c r="O22" s="91">
        <f t="shared" si="27"/>
        <v>64.905646191114911</v>
      </c>
      <c r="P22" s="91">
        <f t="shared" si="28"/>
        <v>6618.5585534003694</v>
      </c>
      <c r="Q22" s="92">
        <f t="shared" si="29"/>
        <v>33.444900088467222</v>
      </c>
      <c r="R22" s="92">
        <f t="shared" si="30"/>
        <v>2.1210335796940409</v>
      </c>
      <c r="S22" s="174">
        <f t="shared" si="39"/>
        <v>5048.5430781448322</v>
      </c>
      <c r="T22" s="98">
        <f t="shared" si="17"/>
        <v>48497431.40426705</v>
      </c>
      <c r="U22" s="103">
        <f t="shared" si="18"/>
        <v>48.497431404267047</v>
      </c>
      <c r="V22" s="103">
        <f t="shared" si="31"/>
        <v>78403.456781015018</v>
      </c>
      <c r="W22" s="103">
        <f t="shared" si="32"/>
        <v>75.659335793679489</v>
      </c>
      <c r="X22" s="103">
        <f t="shared" si="33"/>
        <v>7715.1337895530842</v>
      </c>
      <c r="Y22" s="104">
        <f t="shared" si="34"/>
        <v>38.5227396402504</v>
      </c>
      <c r="Z22" s="104">
        <f t="shared" si="35"/>
        <v>1.8762062423302148</v>
      </c>
      <c r="AA22" s="105">
        <f t="shared" si="40"/>
        <v>5111.5582131521987</v>
      </c>
      <c r="AB22">
        <f t="shared" si="19"/>
        <v>30.700401501657119</v>
      </c>
      <c r="AC22">
        <f t="shared" si="36"/>
        <v>2553.8251275568182</v>
      </c>
      <c r="AD22">
        <f t="shared" si="20"/>
        <v>2775.8968777791501</v>
      </c>
      <c r="AF22" s="167">
        <f t="shared" si="0"/>
        <v>47.5</v>
      </c>
      <c r="AG22" s="8">
        <f t="shared" si="1"/>
        <v>411636</v>
      </c>
      <c r="AH22" s="8">
        <f t="shared" si="2"/>
        <v>23.271727039659929</v>
      </c>
      <c r="AI22" s="168">
        <f t="shared" si="3"/>
        <v>21.385303693956377</v>
      </c>
      <c r="AJ22" s="169">
        <f t="shared" si="4"/>
        <v>2.8148054205274975</v>
      </c>
      <c r="AK22" s="13">
        <f t="shared" si="5"/>
        <v>47.5</v>
      </c>
      <c r="AL22" s="8">
        <f t="shared" si="5"/>
        <v>411636</v>
      </c>
      <c r="AM22" s="8">
        <f t="shared" si="6"/>
        <v>30.009325378231207</v>
      </c>
      <c r="AN22" s="168">
        <f t="shared" si="7"/>
        <v>27.383143741082201</v>
      </c>
      <c r="AO22" s="169">
        <f t="shared" si="8"/>
        <v>2.1957833918742864</v>
      </c>
      <c r="AP22">
        <f t="shared" si="9"/>
        <v>47.5</v>
      </c>
      <c r="AQ22">
        <f t="shared" si="9"/>
        <v>411636</v>
      </c>
      <c r="AR22">
        <f t="shared" si="10"/>
        <v>34.658944221665926</v>
      </c>
      <c r="AS22" s="57">
        <f t="shared" si="11"/>
        <v>31.35294756848889</v>
      </c>
      <c r="AT22" s="57">
        <f t="shared" si="12"/>
        <v>1.9411029766576946</v>
      </c>
    </row>
    <row r="23" spans="1:46" ht="15.75" thickBot="1">
      <c r="A23" s="23">
        <v>205818</v>
      </c>
      <c r="B23" s="23">
        <v>47.5</v>
      </c>
      <c r="C23" s="13">
        <f t="shared" si="41"/>
        <v>411636</v>
      </c>
      <c r="D23" s="110">
        <f t="shared" si="13"/>
        <v>23271727.039659929</v>
      </c>
      <c r="E23" s="80">
        <f t="shared" si="14"/>
        <v>23.271727039659929</v>
      </c>
      <c r="F23" s="80">
        <f t="shared" si="22"/>
        <v>36794.720514850946</v>
      </c>
      <c r="G23" s="80">
        <f t="shared" si="23"/>
        <v>35.506905296831157</v>
      </c>
      <c r="H23" s="80">
        <f t="shared" si="24"/>
        <v>3620.7101469284667</v>
      </c>
      <c r="I23" s="83">
        <f t="shared" si="25"/>
        <v>21.385303693956377</v>
      </c>
      <c r="J23" s="83">
        <f t="shared" si="37"/>
        <v>2.8148054205274975</v>
      </c>
      <c r="K23" s="113">
        <f t="shared" si="38"/>
        <v>4244.1844001250374</v>
      </c>
      <c r="L23" s="86">
        <f t="shared" si="15"/>
        <v>30009325.378231209</v>
      </c>
      <c r="M23" s="91">
        <f t="shared" si="16"/>
        <v>30.009325378231207</v>
      </c>
      <c r="N23" s="91">
        <f t="shared" si="26"/>
        <v>47908.105032679996</v>
      </c>
      <c r="O23" s="91">
        <f t="shared" si="27"/>
        <v>46.231321356536199</v>
      </c>
      <c r="P23" s="91">
        <f t="shared" si="28"/>
        <v>4714.3003013687094</v>
      </c>
      <c r="Q23" s="92">
        <f t="shared" si="29"/>
        <v>27.383143741082201</v>
      </c>
      <c r="R23" s="92">
        <f t="shared" si="30"/>
        <v>2.1957833918742864</v>
      </c>
      <c r="S23" s="174">
        <f t="shared" si="39"/>
        <v>4304.3872800357276</v>
      </c>
      <c r="T23" s="98">
        <f t="shared" si="17"/>
        <v>34658944.221665926</v>
      </c>
      <c r="U23" s="103">
        <f t="shared" si="18"/>
        <v>34.658944221665926</v>
      </c>
      <c r="V23" s="103">
        <f t="shared" si="31"/>
        <v>55577.455366702881</v>
      </c>
      <c r="W23" s="103">
        <f t="shared" si="32"/>
        <v>53.632244428868283</v>
      </c>
      <c r="X23" s="103">
        <f t="shared" si="33"/>
        <v>5468.9872289005561</v>
      </c>
      <c r="Y23" s="104">
        <f t="shared" si="34"/>
        <v>31.35294756848889</v>
      </c>
      <c r="Z23" s="104">
        <f t="shared" si="35"/>
        <v>1.9411029766576946</v>
      </c>
      <c r="AA23" s="105">
        <f t="shared" si="40"/>
        <v>4347.4618303019279</v>
      </c>
      <c r="AB23">
        <f t="shared" si="19"/>
        <v>21.940203273014237</v>
      </c>
      <c r="AC23">
        <f t="shared" si="36"/>
        <v>2533.1331107155884</v>
      </c>
      <c r="AD23">
        <f t="shared" si="20"/>
        <v>2753.4055551256392</v>
      </c>
      <c r="AF23" s="167">
        <f t="shared" si="0"/>
        <v>50</v>
      </c>
      <c r="AG23" s="8">
        <f t="shared" si="1"/>
        <v>208396.32</v>
      </c>
      <c r="AH23" s="8">
        <f t="shared" si="2"/>
        <v>4.189725131626501</v>
      </c>
      <c r="AI23" s="168">
        <f t="shared" si="3"/>
        <v>7.6049373973487651</v>
      </c>
      <c r="AJ23" s="169">
        <f t="shared" si="4"/>
        <v>2.9317081325851482</v>
      </c>
      <c r="AK23" s="13">
        <f t="shared" si="5"/>
        <v>50</v>
      </c>
      <c r="AL23" s="8">
        <f t="shared" si="5"/>
        <v>208396.32</v>
      </c>
      <c r="AM23" s="8">
        <f t="shared" si="6"/>
        <v>5.3326524360115615</v>
      </c>
      <c r="AN23" s="168">
        <f t="shared" si="7"/>
        <v>9.6115550176785813</v>
      </c>
      <c r="AO23" s="169">
        <f t="shared" si="8"/>
        <v>2.2870804329897414</v>
      </c>
      <c r="AP23">
        <f t="shared" si="9"/>
        <v>50</v>
      </c>
      <c r="AQ23">
        <f t="shared" si="9"/>
        <v>208396.32</v>
      </c>
      <c r="AR23">
        <f t="shared" si="10"/>
        <v>5.969401953324625</v>
      </c>
      <c r="AS23" s="57">
        <f t="shared" si="11"/>
        <v>10.666383005497623</v>
      </c>
      <c r="AT23" s="57">
        <f t="shared" si="12"/>
        <v>2.0208402962363046</v>
      </c>
    </row>
    <row r="24" spans="1:46" ht="15.75" thickBot="1">
      <c r="A24" s="23"/>
      <c r="B24" s="23">
        <v>50</v>
      </c>
      <c r="C24" s="13">
        <f>255.2*816.6</f>
        <v>208396.32</v>
      </c>
      <c r="D24" s="110">
        <f t="shared" si="13"/>
        <v>4189725.1316265012</v>
      </c>
      <c r="E24" s="80">
        <f t="shared" si="14"/>
        <v>4.189725131626501</v>
      </c>
      <c r="F24" s="80">
        <f t="shared" si="22"/>
        <v>5319.7625376302231</v>
      </c>
      <c r="G24" s="80">
        <f t="shared" si="23"/>
        <v>5.1335708488131653</v>
      </c>
      <c r="H24" s="80">
        <f t="shared" si="24"/>
        <v>523.4804865951761</v>
      </c>
      <c r="I24" s="83">
        <f t="shared" si="25"/>
        <v>7.6049373973487651</v>
      </c>
      <c r="J24" s="83">
        <f t="shared" si="37"/>
        <v>2.9317081325851482</v>
      </c>
      <c r="K24" s="113">
        <f t="shared" si="38"/>
        <v>2461.648642870508</v>
      </c>
      <c r="L24" s="86">
        <f t="shared" si="15"/>
        <v>5332652.4360115621</v>
      </c>
      <c r="M24" s="91">
        <f t="shared" si="16"/>
        <v>5.3326524360115615</v>
      </c>
      <c r="N24" s="91">
        <f t="shared" si="26"/>
        <v>7204.9729599912671</v>
      </c>
      <c r="O24" s="91">
        <f t="shared" si="27"/>
        <v>6.9527989063915729</v>
      </c>
      <c r="P24" s="91">
        <f t="shared" si="28"/>
        <v>708.99081008256144</v>
      </c>
      <c r="Q24" s="92">
        <f t="shared" si="29"/>
        <v>9.6115550176785813</v>
      </c>
      <c r="R24" s="92">
        <f t="shared" si="30"/>
        <v>2.2870804329897414</v>
      </c>
      <c r="S24" s="174">
        <f t="shared" si="39"/>
        <v>2515.8304737480935</v>
      </c>
      <c r="T24" s="98">
        <f t="shared" si="17"/>
        <v>5969401.9533246253</v>
      </c>
      <c r="U24" s="103">
        <f t="shared" si="18"/>
        <v>5.969401953324625</v>
      </c>
      <c r="V24" s="103">
        <f t="shared" si="31"/>
        <v>8255.2644543552196</v>
      </c>
      <c r="W24" s="103">
        <f t="shared" si="32"/>
        <v>7.9663301984527877</v>
      </c>
      <c r="X24" s="103">
        <f t="shared" si="33"/>
        <v>812.3426229966276</v>
      </c>
      <c r="Y24" s="104">
        <f t="shared" si="34"/>
        <v>10.666383005497623</v>
      </c>
      <c r="Z24" s="104">
        <f t="shared" si="35"/>
        <v>2.0208402962363046</v>
      </c>
      <c r="AA24" s="105">
        <f t="shared" si="40"/>
        <v>2544.9249899717902</v>
      </c>
      <c r="AB24">
        <f t="shared" si="19"/>
        <v>3.7788194422956156</v>
      </c>
      <c r="AC24">
        <f t="shared" si="36"/>
        <v>2184.6146873162547</v>
      </c>
      <c r="AD24">
        <f t="shared" si="20"/>
        <v>2374.5811818654943</v>
      </c>
      <c r="AF24" s="167">
        <f t="shared" si="0"/>
        <v>52.5</v>
      </c>
      <c r="AG24" s="8">
        <f t="shared" si="1"/>
        <v>51486.984000000004</v>
      </c>
      <c r="AH24" s="8">
        <f t="shared" si="2"/>
        <v>0.12380356659143382</v>
      </c>
      <c r="AI24" s="168">
        <f t="shared" si="3"/>
        <v>0.90956944102375048</v>
      </c>
      <c r="AJ24" s="169">
        <f t="shared" si="4"/>
        <v>3.2604419366098272</v>
      </c>
      <c r="AK24" s="13">
        <f t="shared" si="5"/>
        <v>52.5</v>
      </c>
      <c r="AL24" s="8">
        <f t="shared" si="5"/>
        <v>51486.984000000004</v>
      </c>
      <c r="AM24" s="8">
        <f t="shared" si="6"/>
        <v>0.15340705286095441</v>
      </c>
      <c r="AN24" s="168">
        <f t="shared" si="7"/>
        <v>1.119149995415784</v>
      </c>
      <c r="AO24" s="169">
        <f t="shared" si="8"/>
        <v>2.5471840265707737</v>
      </c>
      <c r="AP24">
        <f t="shared" si="9"/>
        <v>52.5</v>
      </c>
      <c r="AQ24">
        <f t="shared" si="9"/>
        <v>51486.984000000004</v>
      </c>
      <c r="AR24">
        <f t="shared" si="10"/>
        <v>0.16104888207641446</v>
      </c>
      <c r="AS24" s="57">
        <f t="shared" si="11"/>
        <v>1.164760565004153</v>
      </c>
      <c r="AT24" s="57">
        <f t="shared" si="12"/>
        <v>2.2552215291914179</v>
      </c>
    </row>
    <row r="25" spans="1:46" ht="15.75" thickBot="1">
      <c r="A25" s="23"/>
      <c r="B25" s="23">
        <v>52.5</v>
      </c>
      <c r="C25" s="13">
        <f>815.7*12.624*5</f>
        <v>51486.984000000004</v>
      </c>
      <c r="D25" s="110">
        <f>((0.79*(10^(-3)/98066.5^0.603)*1700*C25*(0.95*324.38*2818)^0.5)/(957*0.652*0.96))^(1/(1-0.603))</f>
        <v>123803.56659143383</v>
      </c>
      <c r="E25" s="80">
        <f t="shared" si="14"/>
        <v>0.12380356659143382</v>
      </c>
      <c r="F25" s="80">
        <f t="shared" si="22"/>
        <v>-1386.8037343434505</v>
      </c>
      <c r="G25" s="80">
        <f t="shared" si="23"/>
        <v>-1.3382656036414298</v>
      </c>
      <c r="H25" s="80">
        <f t="shared" si="24"/>
        <v>-136.46562013452387</v>
      </c>
      <c r="I25" s="83">
        <f t="shared" si="25"/>
        <v>0.90956944102375048</v>
      </c>
      <c r="J25" s="83">
        <f t="shared" si="37"/>
        <v>3.2604419366098272</v>
      </c>
      <c r="K25" s="113">
        <f t="shared" si="38"/>
        <v>646.44825423840496</v>
      </c>
      <c r="L25" s="86">
        <f t="shared" si="15"/>
        <v>153407.05286095443</v>
      </c>
      <c r="M25" s="91">
        <f t="shared" si="16"/>
        <v>0.15340705286095441</v>
      </c>
      <c r="N25" s="91">
        <f t="shared" si="26"/>
        <v>-1337.9740313173693</v>
      </c>
      <c r="O25" s="91">
        <f t="shared" si="27"/>
        <v>-1.2911449402212614</v>
      </c>
      <c r="P25" s="91">
        <f t="shared" si="28"/>
        <v>-131.66063184424246</v>
      </c>
      <c r="Q25" s="92">
        <f t="shared" si="29"/>
        <v>1.119149995415784</v>
      </c>
      <c r="R25" s="92">
        <f t="shared" si="30"/>
        <v>2.5471840265707737</v>
      </c>
      <c r="S25" s="174">
        <f t="shared" si="39"/>
        <v>763.01375244207372</v>
      </c>
      <c r="T25" s="98">
        <f t="shared" si="17"/>
        <v>161048.88207641448</v>
      </c>
      <c r="U25" s="103">
        <f t="shared" si="18"/>
        <v>0.16104888207641446</v>
      </c>
      <c r="V25" s="103">
        <f t="shared" si="31"/>
        <v>-1325.3691560749849</v>
      </c>
      <c r="W25" s="103">
        <f t="shared" si="32"/>
        <v>-1.2789812356123604</v>
      </c>
      <c r="X25" s="103">
        <f t="shared" si="33"/>
        <v>-130.42027455786362</v>
      </c>
      <c r="Y25" s="104">
        <f t="shared" si="34"/>
        <v>1.164760565004153</v>
      </c>
      <c r="Z25" s="104">
        <f t="shared" si="35"/>
        <v>2.2552215291914179</v>
      </c>
      <c r="AA25" s="105">
        <f t="shared" si="40"/>
        <v>812.1187021303823</v>
      </c>
      <c r="AB25">
        <f t="shared" si="19"/>
        <v>0.10194901457613965</v>
      </c>
      <c r="AC25">
        <f t="shared" si="36"/>
        <v>-13000.313554626322</v>
      </c>
      <c r="AD25">
        <f t="shared" si="20"/>
        <v>-14130.775602854697</v>
      </c>
      <c r="AF25" s="170">
        <f t="shared" si="0"/>
        <v>55</v>
      </c>
      <c r="AG25" s="61">
        <f t="shared" si="1"/>
        <v>0</v>
      </c>
      <c r="AH25" s="61">
        <f t="shared" si="2"/>
        <v>0</v>
      </c>
      <c r="AI25" s="171">
        <f t="shared" si="3"/>
        <v>0</v>
      </c>
      <c r="AJ25" s="172">
        <f t="shared" si="4"/>
        <v>6.0089951390856786</v>
      </c>
      <c r="AK25" s="14">
        <f t="shared" si="5"/>
        <v>55</v>
      </c>
      <c r="AL25" s="61">
        <f t="shared" si="5"/>
        <v>0</v>
      </c>
      <c r="AM25" s="61">
        <f t="shared" si="6"/>
        <v>0</v>
      </c>
      <c r="AN25" s="171">
        <f t="shared" si="7"/>
        <v>0</v>
      </c>
      <c r="AO25" s="172">
        <f t="shared" si="8"/>
        <v>4.7810222164831151</v>
      </c>
      <c r="AP25">
        <f t="shared" si="9"/>
        <v>55</v>
      </c>
      <c r="AQ25">
        <f t="shared" si="9"/>
        <v>0</v>
      </c>
      <c r="AR25">
        <f t="shared" si="10"/>
        <v>0</v>
      </c>
      <c r="AS25" s="57">
        <f t="shared" si="11"/>
        <v>0</v>
      </c>
      <c r="AT25" s="57">
        <f t="shared" si="12"/>
        <v>4.4015854044064806</v>
      </c>
    </row>
    <row r="26" spans="1:46" ht="15.75" thickBot="1">
      <c r="A26" s="24"/>
      <c r="B26" s="24">
        <v>55</v>
      </c>
      <c r="C26" s="14">
        <f t="shared" ref="C26" si="42">A26*2</f>
        <v>0</v>
      </c>
      <c r="D26" s="110">
        <v>0</v>
      </c>
      <c r="E26" s="84">
        <v>0</v>
      </c>
      <c r="F26" s="84">
        <v>0</v>
      </c>
      <c r="G26" s="80">
        <f t="shared" si="23"/>
        <v>0</v>
      </c>
      <c r="H26" s="84">
        <f t="shared" si="24"/>
        <v>0</v>
      </c>
      <c r="I26" s="83">
        <f t="shared" si="25"/>
        <v>0</v>
      </c>
      <c r="J26" s="85">
        <f t="shared" si="37"/>
        <v>6.0089951390856786</v>
      </c>
      <c r="K26" s="115">
        <f t="shared" si="38"/>
        <v>-1905.8519226175804</v>
      </c>
      <c r="L26" s="86">
        <f t="shared" si="15"/>
        <v>0</v>
      </c>
      <c r="M26" s="95">
        <v>0</v>
      </c>
      <c r="N26" s="95">
        <v>0</v>
      </c>
      <c r="O26" s="91">
        <f t="shared" si="27"/>
        <v>0</v>
      </c>
      <c r="P26" s="95">
        <f t="shared" si="28"/>
        <v>0</v>
      </c>
      <c r="Q26" s="92">
        <f t="shared" si="29"/>
        <v>0</v>
      </c>
      <c r="R26" s="96">
        <f t="shared" si="30"/>
        <v>4.7810222164831151</v>
      </c>
      <c r="S26" s="175">
        <f t="shared" si="39"/>
        <v>-1494.4087441338552</v>
      </c>
      <c r="T26" s="98">
        <f t="shared" si="17"/>
        <v>0</v>
      </c>
      <c r="U26" s="107">
        <v>0</v>
      </c>
      <c r="V26" s="107">
        <v>0</v>
      </c>
      <c r="W26" s="103">
        <f t="shared" si="32"/>
        <v>0</v>
      </c>
      <c r="X26" s="107">
        <f t="shared" si="33"/>
        <v>0</v>
      </c>
      <c r="Y26" s="104">
        <f t="shared" si="34"/>
        <v>0</v>
      </c>
      <c r="Z26" s="108">
        <f t="shared" si="35"/>
        <v>4.4015854044064806</v>
      </c>
      <c r="AA26" s="109">
        <f t="shared" si="40"/>
        <v>-1422.3622389618108</v>
      </c>
      <c r="AB26">
        <f t="shared" si="19"/>
        <v>0</v>
      </c>
      <c r="AC26" t="e">
        <f t="shared" si="36"/>
        <v>#DIV/0!</v>
      </c>
      <c r="AD26" t="e">
        <f t="shared" si="20"/>
        <v>#DIV/0!</v>
      </c>
      <c r="AF26" s="2"/>
    </row>
    <row r="27" spans="1:46" ht="15.75">
      <c r="K27" s="18">
        <f>SUM(K5:K26)</f>
        <v>76409.090085540622</v>
      </c>
      <c r="S27" s="18">
        <f>SUM(S5:S26)</f>
        <v>78433.232873097208</v>
      </c>
      <c r="AA27" s="18">
        <f>SUM(AA5:AA26)</f>
        <v>79769.562486276496</v>
      </c>
    </row>
    <row r="56" spans="5:17">
      <c r="E56" s="229"/>
      <c r="F56" s="229"/>
    </row>
    <row r="59" spans="5:17">
      <c r="I59" s="226"/>
      <c r="J59" s="226"/>
      <c r="K59" s="226"/>
      <c r="L59" s="226"/>
      <c r="M59" s="226"/>
      <c r="N59" s="226"/>
      <c r="O59" s="226"/>
      <c r="P59" s="226"/>
      <c r="Q59" s="226"/>
    </row>
    <row r="60" spans="5:17">
      <c r="I60" s="226"/>
      <c r="J60" s="226"/>
      <c r="K60" s="226"/>
      <c r="L60" s="226"/>
      <c r="M60" s="226"/>
      <c r="N60" s="226"/>
      <c r="O60" s="226"/>
      <c r="P60" s="226"/>
      <c r="Q60" s="226"/>
    </row>
    <row r="61" spans="5:17">
      <c r="I61" s="226"/>
      <c r="J61" s="226"/>
      <c r="K61" s="64"/>
      <c r="L61" s="64"/>
      <c r="M61" s="64"/>
      <c r="N61" s="64"/>
      <c r="O61" s="226"/>
      <c r="P61" s="226"/>
      <c r="Q61" s="226"/>
    </row>
  </sheetData>
  <mergeCells count="18">
    <mergeCell ref="J60:J61"/>
    <mergeCell ref="J59:N59"/>
    <mergeCell ref="O59:P59"/>
    <mergeCell ref="O60:O61"/>
    <mergeCell ref="P60:P61"/>
    <mergeCell ref="Q59:Q61"/>
    <mergeCell ref="AF1:AJ1"/>
    <mergeCell ref="A1:AA1"/>
    <mergeCell ref="A2:A3"/>
    <mergeCell ref="B2:B3"/>
    <mergeCell ref="C2:C3"/>
    <mergeCell ref="D2:K2"/>
    <mergeCell ref="L2:S2"/>
    <mergeCell ref="T2:AA2"/>
    <mergeCell ref="E56:F56"/>
    <mergeCell ref="K60:L60"/>
    <mergeCell ref="M60:N60"/>
    <mergeCell ref="I59:I61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C10" sqref="C10"/>
    </sheetView>
  </sheetViews>
  <sheetFormatPr defaultRowHeight="15"/>
  <cols>
    <col min="1" max="1" width="15" customWidth="1"/>
    <col min="2" max="2" width="12.140625" customWidth="1"/>
    <col min="3" max="3" width="12.5703125" customWidth="1"/>
    <col min="4" max="4" width="12.7109375" customWidth="1"/>
    <col min="5" max="5" width="13.7109375" customWidth="1"/>
  </cols>
  <sheetData>
    <row r="1" spans="1:9" ht="15.75" thickBot="1">
      <c r="A1" s="233" t="s">
        <v>22</v>
      </c>
      <c r="B1" s="235" t="s">
        <v>43</v>
      </c>
      <c r="C1" s="236"/>
      <c r="D1" s="236"/>
      <c r="E1" s="236"/>
      <c r="F1" s="236"/>
      <c r="G1" s="236"/>
      <c r="H1" s="236"/>
      <c r="I1" s="237"/>
    </row>
    <row r="2" spans="1:9" ht="15.75" thickBot="1">
      <c r="A2" s="234"/>
      <c r="B2" s="79">
        <v>3.9220000000000002</v>
      </c>
      <c r="C2" s="79" t="s">
        <v>44</v>
      </c>
      <c r="D2" s="79" t="s">
        <v>45</v>
      </c>
      <c r="E2" s="79" t="s">
        <v>46</v>
      </c>
      <c r="F2" s="79" t="s">
        <v>47</v>
      </c>
      <c r="G2" s="79" t="s">
        <v>48</v>
      </c>
      <c r="H2" s="117" t="s">
        <v>49</v>
      </c>
      <c r="I2" s="79" t="s">
        <v>50</v>
      </c>
    </row>
    <row r="3" spans="1:9">
      <c r="A3" s="78">
        <v>20</v>
      </c>
      <c r="B3" s="78">
        <v>9</v>
      </c>
      <c r="C3" s="78">
        <v>12</v>
      </c>
      <c r="D3" s="78">
        <v>13</v>
      </c>
      <c r="E3" s="78">
        <v>13.6</v>
      </c>
      <c r="F3" s="78">
        <v>15.6</v>
      </c>
      <c r="G3" s="78">
        <v>17</v>
      </c>
      <c r="H3" s="78">
        <v>17.8</v>
      </c>
      <c r="I3" s="22">
        <v>18.600000000000001</v>
      </c>
    </row>
    <row r="4" spans="1:9">
      <c r="A4" s="22">
        <v>50</v>
      </c>
      <c r="B4" s="22">
        <v>10.3</v>
      </c>
      <c r="C4" s="22">
        <v>13</v>
      </c>
      <c r="D4" s="22">
        <v>14.8</v>
      </c>
      <c r="E4" s="22">
        <v>16.2</v>
      </c>
      <c r="F4" s="22">
        <v>17.3</v>
      </c>
      <c r="G4" s="22">
        <v>18.7</v>
      </c>
      <c r="H4" s="22">
        <v>19.100000000000001</v>
      </c>
      <c r="I4" s="22">
        <v>19.899999999999999</v>
      </c>
    </row>
    <row r="5" spans="1:9" ht="15.75" thickBot="1">
      <c r="A5" s="116">
        <v>-50</v>
      </c>
      <c r="B5" s="116">
        <v>8.6</v>
      </c>
      <c r="C5" s="116">
        <v>10.8</v>
      </c>
      <c r="D5" s="116">
        <v>12.6</v>
      </c>
      <c r="E5" s="116">
        <v>13.6</v>
      </c>
      <c r="F5" s="116">
        <v>14.7</v>
      </c>
      <c r="G5" s="116">
        <v>15.5</v>
      </c>
      <c r="H5" s="116">
        <v>16.399999999999999</v>
      </c>
      <c r="I5" s="116">
        <v>16.7</v>
      </c>
    </row>
    <row r="6" spans="1:9" ht="15.75" thickBot="1">
      <c r="A6" s="4"/>
      <c r="B6" s="230" t="s">
        <v>34</v>
      </c>
      <c r="C6" s="231"/>
      <c r="D6" s="231"/>
      <c r="E6" s="231"/>
      <c r="F6" s="231"/>
      <c r="G6" s="231"/>
      <c r="H6" s="232"/>
      <c r="I6" s="4"/>
    </row>
    <row r="7" spans="1:9" ht="15.75" thickBot="1">
      <c r="A7" s="4"/>
      <c r="B7" s="78" t="s">
        <v>23</v>
      </c>
      <c r="C7" s="79">
        <v>60</v>
      </c>
      <c r="D7" s="79">
        <v>80</v>
      </c>
      <c r="E7" s="79">
        <v>100</v>
      </c>
      <c r="F7" s="79">
        <v>120</v>
      </c>
      <c r="G7" s="79">
        <v>140</v>
      </c>
      <c r="H7" s="79">
        <v>160</v>
      </c>
      <c r="I7" s="4"/>
    </row>
    <row r="8" spans="1:9" ht="15.75" thickBot="1">
      <c r="A8" s="4"/>
      <c r="B8" s="116" t="s">
        <v>25</v>
      </c>
      <c r="C8" s="117">
        <v>12.8</v>
      </c>
      <c r="D8" s="118">
        <v>14.6</v>
      </c>
      <c r="E8" s="118">
        <v>15.6</v>
      </c>
      <c r="F8" s="118">
        <v>16.7</v>
      </c>
      <c r="G8" s="118">
        <v>17.5</v>
      </c>
      <c r="H8" s="119">
        <v>18.399999999999999</v>
      </c>
      <c r="I8" s="4"/>
    </row>
    <row r="9" spans="1:9" ht="15.75" thickBot="1">
      <c r="A9" s="4"/>
      <c r="B9" s="230" t="s">
        <v>35</v>
      </c>
      <c r="C9" s="231"/>
      <c r="D9" s="231"/>
      <c r="E9" s="231"/>
      <c r="F9" s="231"/>
      <c r="G9" s="231"/>
      <c r="H9" s="232"/>
      <c r="I9" s="4"/>
    </row>
    <row r="10" spans="1:9">
      <c r="A10" s="4"/>
      <c r="B10" s="78" t="s">
        <v>26</v>
      </c>
      <c r="C10" s="78">
        <f t="shared" ref="C10:H11" si="0">LN(C7)</f>
        <v>4.0943445622221004</v>
      </c>
      <c r="D10" s="78">
        <f t="shared" si="0"/>
        <v>4.3820266346738812</v>
      </c>
      <c r="E10" s="78">
        <f t="shared" si="0"/>
        <v>4.6051701859880918</v>
      </c>
      <c r="F10" s="78">
        <f t="shared" si="0"/>
        <v>4.7874917427820458</v>
      </c>
      <c r="G10" s="78">
        <f t="shared" si="0"/>
        <v>4.9416424226093039</v>
      </c>
      <c r="H10" s="78">
        <f t="shared" si="0"/>
        <v>5.0751738152338266</v>
      </c>
      <c r="I10" s="4"/>
    </row>
    <row r="11" spans="1:9">
      <c r="A11" s="4"/>
      <c r="B11" s="22" t="s">
        <v>27</v>
      </c>
      <c r="C11" s="22">
        <f t="shared" si="0"/>
        <v>2.5494451709255714</v>
      </c>
      <c r="D11" s="22">
        <f t="shared" si="0"/>
        <v>2.6810215287142909</v>
      </c>
      <c r="E11" s="22">
        <f t="shared" si="0"/>
        <v>2.7472709142554912</v>
      </c>
      <c r="F11" s="22">
        <f t="shared" si="0"/>
        <v>2.8154087194227095</v>
      </c>
      <c r="G11" s="22">
        <f t="shared" si="0"/>
        <v>2.8622008809294686</v>
      </c>
      <c r="H11" s="22">
        <f t="shared" si="0"/>
        <v>2.91235066461494</v>
      </c>
      <c r="I11" s="4"/>
    </row>
    <row r="12" spans="1:9" ht="15.75" thickBot="1">
      <c r="A12" s="4"/>
      <c r="B12" s="116" t="s">
        <v>32</v>
      </c>
      <c r="C12" s="116">
        <f t="shared" ref="C12:H12" si="1">C10^2</f>
        <v>16.763657394197683</v>
      </c>
      <c r="D12" s="116">
        <f t="shared" si="1"/>
        <v>19.202157426991302</v>
      </c>
      <c r="E12" s="116">
        <f t="shared" si="1"/>
        <v>21.207592441913597</v>
      </c>
      <c r="F12" s="116">
        <f t="shared" si="1"/>
        <v>22.920077187206271</v>
      </c>
      <c r="G12" s="116">
        <f t="shared" si="1"/>
        <v>24.419829832931949</v>
      </c>
      <c r="H12" s="116">
        <f t="shared" si="1"/>
        <v>25.757389254835076</v>
      </c>
      <c r="I12" s="4"/>
    </row>
    <row r="13" spans="1:9" ht="15.75" thickBot="1">
      <c r="A13" s="4"/>
      <c r="B13" s="230" t="s">
        <v>35</v>
      </c>
      <c r="C13" s="232"/>
      <c r="D13" s="4"/>
      <c r="E13" s="4"/>
      <c r="F13" s="4"/>
      <c r="G13" s="230" t="s">
        <v>35</v>
      </c>
      <c r="H13" s="232"/>
      <c r="I13" s="4"/>
    </row>
    <row r="14" spans="1:9">
      <c r="A14" s="4"/>
      <c r="B14" s="78" t="s">
        <v>28</v>
      </c>
      <c r="C14" s="78">
        <f>(1/6)*SUM(C10:H10)</f>
        <v>4.6476415605848747</v>
      </c>
      <c r="D14" s="4"/>
      <c r="E14" s="4"/>
      <c r="F14" s="4"/>
      <c r="G14" s="78" t="s">
        <v>37</v>
      </c>
      <c r="H14" s="78">
        <f>(C15-C14*C16)/(C17-C14^2)</f>
        <v>0.36109571206551627</v>
      </c>
      <c r="I14" s="4"/>
    </row>
    <row r="15" spans="1:9">
      <c r="A15" s="4"/>
      <c r="B15" s="22" t="s">
        <v>29</v>
      </c>
      <c r="C15" s="22">
        <f>(1/6)*SUM(C10*C11,D10*D11,E10*E11,F10*F11,G11*G10,H10*H11)</f>
        <v>12.873611658706732</v>
      </c>
      <c r="D15" s="4"/>
      <c r="E15" s="4"/>
      <c r="F15" s="4"/>
      <c r="G15" s="22" t="s">
        <v>38</v>
      </c>
      <c r="H15" s="22">
        <f>C16-C14*(H14)</f>
        <v>1.0830395410657294</v>
      </c>
      <c r="I15" s="4"/>
    </row>
    <row r="16" spans="1:9">
      <c r="A16" s="4"/>
      <c r="B16" s="22" t="s">
        <v>30</v>
      </c>
      <c r="C16" s="22">
        <f>(1/6)*SUM(C11:H11)</f>
        <v>2.7612829798104119</v>
      </c>
      <c r="D16" s="4"/>
      <c r="E16" s="4"/>
      <c r="F16" s="4"/>
      <c r="G16" s="22" t="s">
        <v>39</v>
      </c>
      <c r="H16" s="22">
        <f>H14</f>
        <v>0.36109571206551627</v>
      </c>
      <c r="I16" s="4"/>
    </row>
    <row r="17" spans="1:9" ht="15.75" thickBot="1">
      <c r="A17" s="4"/>
      <c r="B17" s="116" t="s">
        <v>31</v>
      </c>
      <c r="C17" s="116">
        <f>(1/6)*SUM(C12:H12)</f>
        <v>21.711783923012646</v>
      </c>
      <c r="D17" s="4"/>
      <c r="E17" s="4"/>
      <c r="F17" s="4"/>
      <c r="G17" s="22" t="s">
        <v>40</v>
      </c>
      <c r="H17" s="22">
        <f>EXP(H15)</f>
        <v>2.9536436419461154</v>
      </c>
      <c r="I17" s="4"/>
    </row>
    <row r="18" spans="1:9" ht="15.75" thickBot="1">
      <c r="A18" s="4"/>
      <c r="B18" s="230" t="s">
        <v>36</v>
      </c>
      <c r="C18" s="231"/>
      <c r="D18" s="231"/>
      <c r="E18" s="231"/>
      <c r="F18" s="231"/>
      <c r="G18" s="231"/>
      <c r="H18" s="232"/>
      <c r="I18" s="4"/>
    </row>
    <row r="19" spans="1:9" ht="15.75" thickBot="1">
      <c r="A19" s="4"/>
      <c r="B19" s="78" t="s">
        <v>23</v>
      </c>
      <c r="C19" s="79">
        <f>C7</f>
        <v>60</v>
      </c>
      <c r="D19" s="79">
        <f>D7</f>
        <v>80</v>
      </c>
      <c r="E19" s="79">
        <f>E7</f>
        <v>100</v>
      </c>
      <c r="F19" s="79">
        <v>120</v>
      </c>
      <c r="G19" s="79">
        <v>140</v>
      </c>
      <c r="H19" s="79">
        <v>160</v>
      </c>
      <c r="I19" s="4"/>
    </row>
    <row r="20" spans="1:9" ht="15.75" thickBot="1">
      <c r="A20" s="4"/>
      <c r="B20" s="116" t="s">
        <v>33</v>
      </c>
      <c r="C20" s="117">
        <f>'Заряд 3 - var T'!$B$187*C19^('Заряд 3 - var T'!$B$186)</f>
        <v>13.606410271258422</v>
      </c>
      <c r="D20" s="118">
        <f>'Заряд 3 - var T'!$B$187*D19^('Заряд 3 - var T'!$B$186)</f>
        <v>15.135690404025526</v>
      </c>
      <c r="E20" s="118">
        <f>'Заряд 3 - var T'!$B$187*E19^('Заряд 3 - var T'!$B$186)</f>
        <v>16.439297342399041</v>
      </c>
      <c r="F20" s="118">
        <f>'Заряд 3 - var T'!$B$187*F19^('Заряд 3 - var T'!$B$186)</f>
        <v>17.587340612686383</v>
      </c>
      <c r="G20" s="118">
        <f>'Заряд 3 - var T'!$B$187*G19^('Заряд 3 - var T'!$B$186)</f>
        <v>18.6203260144297</v>
      </c>
      <c r="H20" s="119">
        <f>'Заряд 3 - var T'!$B$187*H19^('Заряд 3 - var T'!$B$186)</f>
        <v>19.564053797941661</v>
      </c>
      <c r="I20" s="4"/>
    </row>
  </sheetData>
  <mergeCells count="7">
    <mergeCell ref="B18:H18"/>
    <mergeCell ref="B6:H6"/>
    <mergeCell ref="A1:A2"/>
    <mergeCell ref="B1:I1"/>
    <mergeCell ref="B9:H9"/>
    <mergeCell ref="B13:C13"/>
    <mergeCell ref="G13:H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D133"/>
  <sheetViews>
    <sheetView topLeftCell="L88" zoomScale="70" zoomScaleNormal="70" workbookViewId="0">
      <selection activeCell="B3" sqref="B3"/>
    </sheetView>
  </sheetViews>
  <sheetFormatPr defaultRowHeight="15"/>
  <cols>
    <col min="1" max="1" width="17.5703125" customWidth="1"/>
    <col min="3" max="3" width="10.5703125" customWidth="1"/>
    <col min="4" max="4" width="12.140625" customWidth="1"/>
    <col min="5" max="5" width="11.28515625" customWidth="1"/>
    <col min="6" max="7" width="11.7109375" customWidth="1"/>
    <col min="8" max="8" width="12" customWidth="1"/>
    <col min="9" max="9" width="14.5703125" customWidth="1"/>
    <col min="10" max="10" width="13.28515625" customWidth="1"/>
  </cols>
  <sheetData>
    <row r="1" spans="1:82" ht="15.75" thickBot="1">
      <c r="A1" s="233" t="s">
        <v>22</v>
      </c>
      <c r="B1" s="235" t="s">
        <v>81</v>
      </c>
      <c r="C1" s="236"/>
      <c r="D1" s="236"/>
      <c r="E1" s="236"/>
      <c r="F1" s="236"/>
      <c r="G1" s="236"/>
      <c r="H1" s="236"/>
      <c r="I1" s="236"/>
      <c r="J1" s="244"/>
    </row>
    <row r="2" spans="1:82" ht="15.75" thickBot="1">
      <c r="A2" s="258"/>
      <c r="B2" s="63" t="s">
        <v>80</v>
      </c>
      <c r="C2" s="119" t="s">
        <v>79</v>
      </c>
      <c r="D2" s="79" t="s">
        <v>44</v>
      </c>
      <c r="E2" s="79" t="s">
        <v>45</v>
      </c>
      <c r="F2" s="79" t="s">
        <v>46</v>
      </c>
      <c r="G2" s="79" t="s">
        <v>47</v>
      </c>
      <c r="H2" s="79" t="s">
        <v>48</v>
      </c>
      <c r="I2" s="117" t="s">
        <v>49</v>
      </c>
      <c r="J2" s="79" t="s">
        <v>50</v>
      </c>
      <c r="AE2" s="241" t="s">
        <v>105</v>
      </c>
      <c r="AF2" s="245">
        <v>-40</v>
      </c>
      <c r="AG2" s="144">
        <v>20</v>
      </c>
      <c r="AH2" s="151">
        <v>40</v>
      </c>
      <c r="AI2" s="151">
        <v>60</v>
      </c>
      <c r="AJ2" s="151">
        <v>80</v>
      </c>
      <c r="AK2" s="151">
        <v>100</v>
      </c>
      <c r="AL2" s="151">
        <v>120</v>
      </c>
      <c r="AM2" s="151">
        <v>140</v>
      </c>
      <c r="AN2" s="151">
        <v>160</v>
      </c>
      <c r="AO2" s="151">
        <v>180</v>
      </c>
      <c r="AP2" s="144" t="s">
        <v>93</v>
      </c>
      <c r="AQ2" s="151">
        <f>LN(AG2)</f>
        <v>2.9957322735539909</v>
      </c>
      <c r="AR2" s="151">
        <f>LN(AH2)</f>
        <v>3.6888794541139363</v>
      </c>
      <c r="AS2" s="151">
        <f>LN(AI2)</f>
        <v>4.0943445622221004</v>
      </c>
      <c r="AT2" s="151">
        <f t="shared" ref="AT2:AY3" si="0">LN(AJ2)</f>
        <v>4.3820266346738812</v>
      </c>
      <c r="AU2" s="151">
        <f t="shared" si="0"/>
        <v>4.6051701859880918</v>
      </c>
      <c r="AV2" s="151">
        <f t="shared" si="0"/>
        <v>4.7874917427820458</v>
      </c>
      <c r="AW2" s="151">
        <f t="shared" si="0"/>
        <v>4.9416424226093039</v>
      </c>
      <c r="AX2" s="151">
        <f t="shared" si="0"/>
        <v>5.0751738152338266</v>
      </c>
      <c r="AY2" s="147">
        <f t="shared" si="0"/>
        <v>5.1929568508902104</v>
      </c>
      <c r="AZ2" s="144" t="s">
        <v>28</v>
      </c>
      <c r="BA2" s="147">
        <f>(SUM(AQ2:AW2))/COLUMNS(AQ2:AW2)</f>
        <v>4.2136124679919069</v>
      </c>
      <c r="BB2" s="151" t="s">
        <v>39</v>
      </c>
      <c r="BC2" s="147">
        <f>(BA4-BA2*BA3)/(BA5-BA2^2)</f>
        <v>0.5382579156328483</v>
      </c>
      <c r="BF2" s="241" t="s">
        <v>105</v>
      </c>
      <c r="BG2" s="245">
        <v>-40</v>
      </c>
      <c r="BH2" s="144">
        <v>20</v>
      </c>
      <c r="BI2" s="151">
        <v>40</v>
      </c>
      <c r="BJ2" s="151">
        <v>60</v>
      </c>
      <c r="BK2" s="151">
        <v>80</v>
      </c>
      <c r="BL2" s="151">
        <v>100</v>
      </c>
      <c r="BM2" s="151">
        <v>120</v>
      </c>
      <c r="BN2" s="151">
        <v>140</v>
      </c>
      <c r="BO2" s="151">
        <v>160</v>
      </c>
      <c r="BP2" s="151">
        <v>180</v>
      </c>
      <c r="BQ2" s="144" t="s">
        <v>93</v>
      </c>
      <c r="BR2" s="151">
        <f>LN(BH2)</f>
        <v>2.9957322735539909</v>
      </c>
      <c r="BS2" s="151">
        <f>LN(BI2)</f>
        <v>3.6888794541139363</v>
      </c>
      <c r="BT2" s="151">
        <f>LN(BJ2)</f>
        <v>4.0943445622221004</v>
      </c>
      <c r="BU2" s="151">
        <f t="shared" ref="BU2:BU3" si="1">LN(BK2)</f>
        <v>4.3820266346738812</v>
      </c>
      <c r="BV2" s="151">
        <f t="shared" ref="BV2:BV3" si="2">LN(BL2)</f>
        <v>4.6051701859880918</v>
      </c>
      <c r="BW2" s="151">
        <f t="shared" ref="BW2:BW3" si="3">LN(BM2)</f>
        <v>4.7874917427820458</v>
      </c>
      <c r="BX2" s="151">
        <f t="shared" ref="BX2:BX3" si="4">LN(BN2)</f>
        <v>4.9416424226093039</v>
      </c>
      <c r="BY2" s="151">
        <f t="shared" ref="BY2" si="5">LN(BO2)</f>
        <v>5.0751738152338266</v>
      </c>
      <c r="BZ2" s="147">
        <f t="shared" ref="BZ2" si="6">LN(BP2)</f>
        <v>5.1929568508902104</v>
      </c>
      <c r="CA2" s="144" t="s">
        <v>28</v>
      </c>
      <c r="CB2" s="147">
        <f>(SUM(BR2:BX2))/COLUMNS(BR2:BX2)</f>
        <v>4.2136124679919069</v>
      </c>
      <c r="CC2" s="151" t="s">
        <v>39</v>
      </c>
      <c r="CD2" s="147">
        <f>(CB4-CB2*CB3)/(CB5-CB2^2)</f>
        <v>0.60373366464357825</v>
      </c>
    </row>
    <row r="3" spans="1:82" ht="15.75" thickBot="1">
      <c r="A3" s="144">
        <v>-40</v>
      </c>
      <c r="B3" s="63">
        <f>(B11+B17:B17)/2</f>
        <v>5.6632200000000008</v>
      </c>
      <c r="C3" s="63">
        <f t="shared" ref="C3:G3" si="7">(C11+C17:C17)/2</f>
        <v>8.5407480000000007</v>
      </c>
      <c r="D3" s="63">
        <f t="shared" si="7"/>
        <v>10.938688000000001</v>
      </c>
      <c r="E3" s="63">
        <f t="shared" si="7"/>
        <v>12.714184000000001</v>
      </c>
      <c r="F3" s="63">
        <f t="shared" si="7"/>
        <v>14.081520000000001</v>
      </c>
      <c r="G3" s="63">
        <f t="shared" si="7"/>
        <v>15.091716000000002</v>
      </c>
      <c r="H3" s="63">
        <f>H17</f>
        <v>15.938648000000001</v>
      </c>
      <c r="I3" s="63" t="s">
        <v>3</v>
      </c>
      <c r="J3" s="63" t="s">
        <v>3</v>
      </c>
      <c r="AE3" s="242"/>
      <c r="AF3" s="246"/>
      <c r="AG3" s="146">
        <v>5.6632200000000008</v>
      </c>
      <c r="AH3" s="152">
        <v>8.5407480000000007</v>
      </c>
      <c r="AI3" s="152">
        <v>10.938688000000001</v>
      </c>
      <c r="AJ3" s="61">
        <v>12.714184000000001</v>
      </c>
      <c r="AK3" s="61">
        <v>14.081520000000001</v>
      </c>
      <c r="AL3" s="61">
        <v>15.091716000000002</v>
      </c>
      <c r="AM3" s="61">
        <v>15.938648000000001</v>
      </c>
      <c r="AN3" s="61" t="s">
        <v>3</v>
      </c>
      <c r="AO3" s="61" t="s">
        <v>3</v>
      </c>
      <c r="AP3" s="146" t="s">
        <v>94</v>
      </c>
      <c r="AQ3" s="152">
        <f>LN(AG3)</f>
        <v>1.7339926350438626</v>
      </c>
      <c r="AR3" s="152">
        <f t="shared" ref="AR3:AS3" si="8">LN(AH3)</f>
        <v>2.1448485917869031</v>
      </c>
      <c r="AS3" s="152">
        <f t="shared" si="8"/>
        <v>2.3923058629281755</v>
      </c>
      <c r="AT3" s="152">
        <f t="shared" si="0"/>
        <v>2.5427182206448267</v>
      </c>
      <c r="AU3" s="152">
        <f t="shared" si="0"/>
        <v>2.6448632994486783</v>
      </c>
      <c r="AV3" s="152">
        <f t="shared" si="0"/>
        <v>2.714145984008228</v>
      </c>
      <c r="AW3" s="152">
        <f t="shared" si="0"/>
        <v>2.7687468516970593</v>
      </c>
      <c r="AX3" s="152"/>
      <c r="AY3" s="149"/>
      <c r="AZ3" s="145" t="s">
        <v>30</v>
      </c>
      <c r="BA3" s="148">
        <f>(SUM(AQ3:AW3))/COLUMNS(AQ3:AW3)</f>
        <v>2.4202316350796762</v>
      </c>
      <c r="BB3" s="4" t="s">
        <v>95</v>
      </c>
      <c r="BC3" s="148">
        <f>BA3-BA2*BC2</f>
        <v>0.15222137077377074</v>
      </c>
      <c r="BF3" s="242"/>
      <c r="BG3" s="246"/>
      <c r="BH3" s="146">
        <v>4.6632199999999999</v>
      </c>
      <c r="BI3" s="152">
        <v>7.5407479999999998</v>
      </c>
      <c r="BJ3" s="152">
        <v>9.9386880000000009</v>
      </c>
      <c r="BK3" s="61">
        <v>11.714183999999999</v>
      </c>
      <c r="BL3" s="61">
        <v>13.081519999999999</v>
      </c>
      <c r="BM3" s="61">
        <v>14.091716</v>
      </c>
      <c r="BN3" s="61">
        <v>14.938648000000001</v>
      </c>
      <c r="BO3" s="61" t="s">
        <v>3</v>
      </c>
      <c r="BP3" s="61" t="s">
        <v>3</v>
      </c>
      <c r="BQ3" s="146" t="s">
        <v>94</v>
      </c>
      <c r="BR3" s="152">
        <f>LN(BH3)</f>
        <v>1.5397061966403316</v>
      </c>
      <c r="BS3" s="152">
        <f t="shared" ref="BS3" si="9">LN(BI3)</f>
        <v>2.0203213813434808</v>
      </c>
      <c r="BT3" s="152">
        <f t="shared" ref="BT3" si="10">LN(BJ3)</f>
        <v>2.2964350200050681</v>
      </c>
      <c r="BU3" s="152">
        <f t="shared" si="1"/>
        <v>2.4608004152444138</v>
      </c>
      <c r="BV3" s="152">
        <f t="shared" si="2"/>
        <v>2.5712005472285022</v>
      </c>
      <c r="BW3" s="152">
        <f t="shared" si="3"/>
        <v>2.6455871069974553</v>
      </c>
      <c r="BX3" s="152">
        <f t="shared" si="4"/>
        <v>2.7039516802951318</v>
      </c>
      <c r="BY3" s="152"/>
      <c r="BZ3" s="149"/>
      <c r="CA3" s="145" t="s">
        <v>30</v>
      </c>
      <c r="CB3" s="148">
        <f>(SUM(BR3:BX3))/COLUMNS(BR3:BX3)</f>
        <v>2.3197146211077686</v>
      </c>
      <c r="CC3" s="4" t="s">
        <v>95</v>
      </c>
      <c r="CD3" s="148">
        <f>CB3-CB2*CD2</f>
        <v>-0.22418507558085743</v>
      </c>
    </row>
    <row r="4" spans="1:82" ht="15.75" thickBot="1">
      <c r="A4" s="145">
        <v>20</v>
      </c>
      <c r="B4" s="63">
        <f t="shared" ref="B4:H4" si="11">(B12+B18:B18)/2</f>
        <v>6.0713800000000004</v>
      </c>
      <c r="C4" s="63">
        <f t="shared" si="11"/>
        <v>9.0815599999999996</v>
      </c>
      <c r="D4" s="63">
        <f t="shared" si="11"/>
        <v>11.622356</v>
      </c>
      <c r="E4" s="63">
        <f t="shared" si="11"/>
        <v>13.622340000000001</v>
      </c>
      <c r="F4" s="63">
        <f t="shared" si="11"/>
        <v>15.101920000000002</v>
      </c>
      <c r="G4" s="63">
        <f t="shared" si="11"/>
        <v>16.357011999999997</v>
      </c>
      <c r="H4" s="63">
        <f t="shared" si="11"/>
        <v>17.295780000000001</v>
      </c>
      <c r="I4" s="63" t="s">
        <v>3</v>
      </c>
      <c r="J4" s="63" t="s">
        <v>3</v>
      </c>
      <c r="AE4" s="242"/>
      <c r="AF4" s="242"/>
      <c r="AG4" s="3"/>
      <c r="AH4" s="3"/>
      <c r="AI4" s="3"/>
      <c r="AP4" s="4"/>
      <c r="AQ4" s="4"/>
      <c r="AR4" s="4"/>
      <c r="AS4" s="4"/>
      <c r="AZ4" s="145" t="s">
        <v>29</v>
      </c>
      <c r="BA4" s="148">
        <f>(AQ2*AQ3+AR2*AR3+AS2*AS3+AT2*AT3+AU2*AU3+AV2*AV3+AW2*AW3)/COLUMNS(AQ3:AW3)</f>
        <v>10.414286152759102</v>
      </c>
      <c r="BB4" s="152" t="s">
        <v>40</v>
      </c>
      <c r="BC4" s="149">
        <f>EXP(BC3)</f>
        <v>1.1644179760113968</v>
      </c>
      <c r="BF4" s="242"/>
      <c r="BG4" s="242"/>
      <c r="BH4" s="3"/>
      <c r="BI4" s="3"/>
      <c r="BJ4" s="3"/>
      <c r="BQ4" s="4"/>
      <c r="BR4" s="4"/>
      <c r="BS4" s="4"/>
      <c r="BT4" s="4"/>
      <c r="CA4" s="145" t="s">
        <v>29</v>
      </c>
      <c r="CB4" s="148">
        <f>(BR2*BR3+BS2*BS3+BT2*BT3+BU2*BU3+BV2*BV3+BW2*BW3+BX2*BX3)/COLUMNS(BR3:BX3)</f>
        <v>10.017066234595619</v>
      </c>
      <c r="CC4" s="152" t="s">
        <v>40</v>
      </c>
      <c r="CD4" s="149">
        <f>EXP(CD3)</f>
        <v>0.799167214345198</v>
      </c>
    </row>
    <row r="5" spans="1:82" ht="15.75" thickBot="1">
      <c r="A5" s="146">
        <v>50</v>
      </c>
      <c r="B5" s="136">
        <f t="shared" ref="B5:J5" si="12">(B13+B19:B19)/2</f>
        <v>6.1121960000000009</v>
      </c>
      <c r="C5" s="136">
        <f t="shared" si="12"/>
        <v>9.3060480000000005</v>
      </c>
      <c r="D5" s="136">
        <f t="shared" si="12"/>
        <v>12.142760000000001</v>
      </c>
      <c r="E5" s="136">
        <f t="shared" si="12"/>
        <v>14.18356</v>
      </c>
      <c r="F5" s="136">
        <f t="shared" si="12"/>
        <v>16.132524000000004</v>
      </c>
      <c r="G5" s="136">
        <f t="shared" si="12"/>
        <v>17.290678</v>
      </c>
      <c r="H5" s="136">
        <f t="shared" si="12"/>
        <v>18.3672</v>
      </c>
      <c r="I5" s="136">
        <f t="shared" si="12"/>
        <v>19.632496000000003</v>
      </c>
      <c r="J5" s="136">
        <f t="shared" si="12"/>
        <v>21.020240000000001</v>
      </c>
      <c r="AE5" s="242"/>
      <c r="AF5" s="243"/>
      <c r="AG5" s="3"/>
      <c r="AH5" s="3"/>
      <c r="AI5" s="3"/>
      <c r="AP5" s="4"/>
      <c r="AQ5" s="4"/>
      <c r="AR5" s="4"/>
      <c r="AS5" s="4"/>
      <c r="AZ5" s="146" t="s">
        <v>31</v>
      </c>
      <c r="BA5" s="149">
        <f>(AQ2^2+AR2^2+AS2^2+AT2:AT2^2+AU2^2+AV2^2+AW2^2)/7</f>
        <v>18.156508252148242</v>
      </c>
      <c r="BB5" s="3"/>
      <c r="BC5" s="3"/>
      <c r="BF5" s="242"/>
      <c r="BG5" s="243"/>
      <c r="BH5" s="3"/>
      <c r="BI5" s="3"/>
      <c r="BJ5" s="3"/>
      <c r="BQ5" s="4"/>
      <c r="BR5" s="4"/>
      <c r="BS5" s="4"/>
      <c r="BT5" s="4"/>
      <c r="CA5" s="146" t="s">
        <v>31</v>
      </c>
      <c r="CB5" s="149">
        <f>(BR2^2+BS2^2+BT2^2+BU2:BU2^2+BV2^2+BW2^2+BX2^2)/7</f>
        <v>18.156508252148242</v>
      </c>
      <c r="CC5" s="3"/>
      <c r="CD5" s="3"/>
    </row>
    <row r="6" spans="1:82">
      <c r="AE6" s="242"/>
      <c r="AF6" s="245">
        <v>20</v>
      </c>
      <c r="AG6" s="144">
        <v>20</v>
      </c>
      <c r="AH6" s="151">
        <v>40</v>
      </c>
      <c r="AI6" s="151">
        <v>60</v>
      </c>
      <c r="AJ6" s="151">
        <v>80</v>
      </c>
      <c r="AK6" s="151">
        <v>100</v>
      </c>
      <c r="AL6" s="151">
        <v>120</v>
      </c>
      <c r="AM6" s="151">
        <v>140</v>
      </c>
      <c r="AN6" s="151">
        <v>160</v>
      </c>
      <c r="AO6" s="151">
        <v>180</v>
      </c>
      <c r="AP6" s="144" t="s">
        <v>93</v>
      </c>
      <c r="AQ6" s="151">
        <f>LN(AG6)</f>
        <v>2.9957322735539909</v>
      </c>
      <c r="AR6" s="151">
        <f>LN(AH6)</f>
        <v>3.6888794541139363</v>
      </c>
      <c r="AS6" s="151">
        <f>LN(AI6)</f>
        <v>4.0943445622221004</v>
      </c>
      <c r="AT6" s="151">
        <f t="shared" ref="AT6:AY7" si="13">LN(AJ6)</f>
        <v>4.3820266346738812</v>
      </c>
      <c r="AU6" s="151">
        <f t="shared" si="13"/>
        <v>4.6051701859880918</v>
      </c>
      <c r="AV6" s="151">
        <f t="shared" si="13"/>
        <v>4.7874917427820458</v>
      </c>
      <c r="AW6" s="151">
        <f t="shared" si="13"/>
        <v>4.9416424226093039</v>
      </c>
      <c r="AX6" s="151">
        <f t="shared" si="13"/>
        <v>5.0751738152338266</v>
      </c>
      <c r="AY6" s="147">
        <f t="shared" si="13"/>
        <v>5.1929568508902104</v>
      </c>
      <c r="AZ6" s="144" t="s">
        <v>28</v>
      </c>
      <c r="BA6" s="147">
        <f>(SUM(AQ6:AW6))/COLUMNS(AQ6:AW6)</f>
        <v>4.2136124679919069</v>
      </c>
      <c r="BB6" s="144" t="s">
        <v>39</v>
      </c>
      <c r="BC6" s="147">
        <f>(BA8-BA6*BA7)/(BA9-BA6^2)</f>
        <v>0.54554437510634002</v>
      </c>
      <c r="BF6" s="242"/>
      <c r="BG6" s="245">
        <v>20</v>
      </c>
      <c r="BH6" s="144">
        <v>20</v>
      </c>
      <c r="BI6" s="151">
        <v>40</v>
      </c>
      <c r="BJ6" s="151">
        <v>60</v>
      </c>
      <c r="BK6" s="151">
        <v>80</v>
      </c>
      <c r="BL6" s="151">
        <v>100</v>
      </c>
      <c r="BM6" s="151">
        <v>120</v>
      </c>
      <c r="BN6" s="151">
        <v>140</v>
      </c>
      <c r="BO6" s="151">
        <v>160</v>
      </c>
      <c r="BP6" s="151">
        <v>180</v>
      </c>
      <c r="BQ6" s="144" t="s">
        <v>93</v>
      </c>
      <c r="BR6" s="151">
        <f>LN(BH6)</f>
        <v>2.9957322735539909</v>
      </c>
      <c r="BS6" s="151">
        <f>LN(BI6)</f>
        <v>3.6888794541139363</v>
      </c>
      <c r="BT6" s="151">
        <f>LN(BJ6)</f>
        <v>4.0943445622221004</v>
      </c>
      <c r="BU6" s="151">
        <f t="shared" ref="BU6:BU7" si="14">LN(BK6)</f>
        <v>4.3820266346738812</v>
      </c>
      <c r="BV6" s="151">
        <f t="shared" ref="BV6:BV7" si="15">LN(BL6)</f>
        <v>4.6051701859880918</v>
      </c>
      <c r="BW6" s="151">
        <f t="shared" ref="BW6:BW7" si="16">LN(BM6)</f>
        <v>4.7874917427820458</v>
      </c>
      <c r="BX6" s="151">
        <f t="shared" ref="BX6:BX7" si="17">LN(BN6)</f>
        <v>4.9416424226093039</v>
      </c>
      <c r="BY6" s="151">
        <f t="shared" ref="BY6" si="18">LN(BO6)</f>
        <v>5.0751738152338266</v>
      </c>
      <c r="BZ6" s="147">
        <f t="shared" ref="BZ6" si="19">LN(BP6)</f>
        <v>5.1929568508902104</v>
      </c>
      <c r="CA6" s="144" t="s">
        <v>28</v>
      </c>
      <c r="CB6" s="147">
        <f>(SUM(BR6:BX6))/COLUMNS(BR6:BX6)</f>
        <v>4.2136124679919069</v>
      </c>
      <c r="CC6" s="144" t="s">
        <v>39</v>
      </c>
      <c r="CD6" s="147">
        <f>(CB8-CB6*CB7)/(CB9-CB6^2)</f>
        <v>0.60663647083869521</v>
      </c>
    </row>
    <row r="7" spans="1:82" ht="15.75" thickBot="1">
      <c r="AE7" s="242"/>
      <c r="AF7" s="246"/>
      <c r="AG7" s="146">
        <v>6.0713800000000004</v>
      </c>
      <c r="AH7" s="152">
        <v>9.0815599999999996</v>
      </c>
      <c r="AI7" s="152">
        <v>11.622356</v>
      </c>
      <c r="AJ7" s="61">
        <v>13.622340000000001</v>
      </c>
      <c r="AK7" s="61">
        <v>15.101920000000002</v>
      </c>
      <c r="AL7" s="61">
        <v>16.357011999999997</v>
      </c>
      <c r="AM7" s="61">
        <v>17.295780000000001</v>
      </c>
      <c r="AN7" s="61" t="s">
        <v>3</v>
      </c>
      <c r="AO7" s="61" t="s">
        <v>3</v>
      </c>
      <c r="AP7" s="146" t="s">
        <v>94</v>
      </c>
      <c r="AQ7" s="152">
        <f>LN(AG7)</f>
        <v>1.8035859268430579</v>
      </c>
      <c r="AR7" s="152">
        <f t="shared" ref="AR7:AS7" si="20">LN(AH7)</f>
        <v>2.2062459840236133</v>
      </c>
      <c r="AS7" s="152">
        <f t="shared" si="20"/>
        <v>2.4529304847446101</v>
      </c>
      <c r="AT7" s="152">
        <f t="shared" si="13"/>
        <v>2.6117110921317779</v>
      </c>
      <c r="AU7" s="152">
        <f t="shared" si="13"/>
        <v>2.7148218880555888</v>
      </c>
      <c r="AV7" s="152">
        <f t="shared" si="13"/>
        <v>2.7946566739069807</v>
      </c>
      <c r="AW7" s="152">
        <f t="shared" si="13"/>
        <v>2.8504625411119786</v>
      </c>
      <c r="AX7" s="152"/>
      <c r="AY7" s="149"/>
      <c r="AZ7" s="145" t="s">
        <v>30</v>
      </c>
      <c r="BA7" s="148">
        <f>(SUM(AQ7:AW7))/COLUMNS(AQ7:AW7)</f>
        <v>2.4906306558310871</v>
      </c>
      <c r="BB7" s="145" t="s">
        <v>95</v>
      </c>
      <c r="BC7" s="148">
        <f>BA7-BA6*BC6</f>
        <v>0.19191807504015923</v>
      </c>
      <c r="BF7" s="242"/>
      <c r="BG7" s="246"/>
      <c r="BH7" s="146">
        <v>5.0713800000000004</v>
      </c>
      <c r="BI7" s="152">
        <v>8.0815599999999996</v>
      </c>
      <c r="BJ7" s="152">
        <v>10.622356</v>
      </c>
      <c r="BK7" s="61">
        <v>12.622339999999999</v>
      </c>
      <c r="BL7" s="61">
        <v>14.10192</v>
      </c>
      <c r="BM7" s="61">
        <v>15.357011999999999</v>
      </c>
      <c r="BN7" s="61">
        <v>16.295780000000001</v>
      </c>
      <c r="BO7" s="61" t="s">
        <v>3</v>
      </c>
      <c r="BP7" s="61" t="s">
        <v>3</v>
      </c>
      <c r="BQ7" s="146" t="s">
        <v>94</v>
      </c>
      <c r="BR7" s="152">
        <f>LN(BH7)</f>
        <v>1.623612969915404</v>
      </c>
      <c r="BS7" s="152">
        <f t="shared" ref="BS7" si="21">LN(BI7)</f>
        <v>2.0895849232044545</v>
      </c>
      <c r="BT7" s="152">
        <f t="shared" ref="BT7" si="22">LN(BJ7)</f>
        <v>2.3629608367840902</v>
      </c>
      <c r="BU7" s="152">
        <f t="shared" si="14"/>
        <v>2.5354682598932134</v>
      </c>
      <c r="BV7" s="152">
        <f t="shared" si="15"/>
        <v>2.6463109583265667</v>
      </c>
      <c r="BW7" s="152">
        <f t="shared" si="16"/>
        <v>2.7315721775458681</v>
      </c>
      <c r="BX7" s="152">
        <f t="shared" si="17"/>
        <v>2.7909061785879166</v>
      </c>
      <c r="BY7" s="152"/>
      <c r="BZ7" s="149"/>
      <c r="CA7" s="145" t="s">
        <v>30</v>
      </c>
      <c r="CB7" s="148">
        <f>(SUM(BR7:BX7))/COLUMNS(BR7:BX7)</f>
        <v>2.3972023291796449</v>
      </c>
      <c r="CC7" s="145" t="s">
        <v>95</v>
      </c>
      <c r="CD7" s="148">
        <f>CB7-CB6*CD6</f>
        <v>-0.15892866788489002</v>
      </c>
    </row>
    <row r="8" spans="1:82" ht="15.75" thickBot="1">
      <c r="AE8" s="242"/>
      <c r="AF8" s="242"/>
      <c r="AG8" s="3"/>
      <c r="AH8" s="3"/>
      <c r="AI8" s="3"/>
      <c r="AP8" s="4"/>
      <c r="AQ8" s="4"/>
      <c r="AR8" s="4"/>
      <c r="AS8" s="4"/>
      <c r="AZ8" s="145" t="s">
        <v>29</v>
      </c>
      <c r="BA8" s="148">
        <f>(AQ6*AQ7+AR6*AR7+AS6*AS7+AT6*AT7+AU6*AU7+AV6*AV7+AW6*AW7)/7</f>
        <v>10.713849342353539</v>
      </c>
      <c r="BB8" s="146" t="s">
        <v>40</v>
      </c>
      <c r="BC8" s="149">
        <f>EXP(BC7)</f>
        <v>1.2115712549725308</v>
      </c>
      <c r="BF8" s="242"/>
      <c r="BG8" s="242"/>
      <c r="BH8" s="3"/>
      <c r="BI8" s="3"/>
      <c r="BJ8" s="3"/>
      <c r="BQ8" s="4"/>
      <c r="BR8" s="4"/>
      <c r="BS8" s="4"/>
      <c r="BT8" s="4"/>
      <c r="CA8" s="145" t="s">
        <v>29</v>
      </c>
      <c r="CB8" s="148">
        <f>(BR6*BR7+BS6*BS7+BT6*BT7+BU6*BU7+BV6*BV7+BW6*BW7+BX6*BX7)/7</f>
        <v>10.344736272315739</v>
      </c>
      <c r="CC8" s="146" t="s">
        <v>40</v>
      </c>
      <c r="CD8" s="149">
        <f>EXP(CD7)</f>
        <v>0.85305720717378763</v>
      </c>
    </row>
    <row r="9" spans="1:82" ht="15.75" thickBot="1">
      <c r="N9" s="238" t="s">
        <v>85</v>
      </c>
      <c r="O9" s="240"/>
      <c r="AE9" s="242"/>
      <c r="AF9" s="243"/>
      <c r="AG9" s="3"/>
      <c r="AH9" s="3"/>
      <c r="AI9" s="3"/>
      <c r="AP9" s="4"/>
      <c r="AQ9" s="4"/>
      <c r="AR9" s="4"/>
      <c r="AS9" s="4"/>
      <c r="AZ9" s="146" t="s">
        <v>31</v>
      </c>
      <c r="BA9" s="149">
        <f>(AQ6^2+AR6^2+AS6^2+AT6^2+AU6^2+AV6^2+AW6^2)/7</f>
        <v>18.156508252148242</v>
      </c>
      <c r="BB9" s="3"/>
      <c r="BC9" s="3"/>
      <c r="BF9" s="242"/>
      <c r="BG9" s="243"/>
      <c r="BH9" s="3"/>
      <c r="BI9" s="3"/>
      <c r="BJ9" s="3"/>
      <c r="BQ9" s="4"/>
      <c r="BR9" s="4"/>
      <c r="BS9" s="4"/>
      <c r="BT9" s="4"/>
      <c r="CA9" s="146" t="s">
        <v>31</v>
      </c>
      <c r="CB9" s="149">
        <f>(BR6^2+BS6^2+BT6^2+BU6^2+BV6^2+BW6^2+BX6^2)/7</f>
        <v>18.156508252148242</v>
      </c>
      <c r="CC9" s="3"/>
      <c r="CD9" s="3"/>
    </row>
    <row r="10" spans="1:82">
      <c r="A10" s="64" t="s">
        <v>82</v>
      </c>
      <c r="B10" s="64">
        <v>20</v>
      </c>
      <c r="C10" s="64">
        <v>40</v>
      </c>
      <c r="D10" s="64">
        <v>60</v>
      </c>
      <c r="E10" s="64">
        <v>80</v>
      </c>
      <c r="F10" s="64">
        <v>100</v>
      </c>
      <c r="G10" s="64">
        <v>120</v>
      </c>
      <c r="H10" s="64">
        <v>140</v>
      </c>
      <c r="I10" s="64">
        <v>160</v>
      </c>
      <c r="J10" s="64">
        <v>180</v>
      </c>
      <c r="L10" s="64" t="s">
        <v>84</v>
      </c>
      <c r="M10" s="64">
        <v>20</v>
      </c>
      <c r="N10" s="150">
        <v>40</v>
      </c>
      <c r="O10" s="150">
        <v>60</v>
      </c>
      <c r="P10" s="64">
        <v>80</v>
      </c>
      <c r="Q10" s="64">
        <v>100</v>
      </c>
      <c r="R10" s="64">
        <v>120</v>
      </c>
      <c r="S10" s="64">
        <v>140</v>
      </c>
      <c r="T10" s="64">
        <v>160</v>
      </c>
      <c r="U10" s="64">
        <v>180</v>
      </c>
      <c r="AE10" s="242"/>
      <c r="AF10" s="241">
        <v>50</v>
      </c>
      <c r="AG10" s="144">
        <v>20</v>
      </c>
      <c r="AH10" s="151">
        <v>40</v>
      </c>
      <c r="AI10" s="151">
        <v>60</v>
      </c>
      <c r="AJ10" s="151">
        <v>80</v>
      </c>
      <c r="AK10" s="151">
        <v>100</v>
      </c>
      <c r="AL10" s="151">
        <v>120</v>
      </c>
      <c r="AM10" s="151">
        <v>140</v>
      </c>
      <c r="AN10" s="151">
        <v>160</v>
      </c>
      <c r="AO10" s="151">
        <v>180</v>
      </c>
      <c r="AP10" s="144" t="s">
        <v>93</v>
      </c>
      <c r="AQ10" s="151">
        <f t="shared" ref="AQ10:AS11" si="23">LN(AG10)</f>
        <v>2.9957322735539909</v>
      </c>
      <c r="AR10" s="151">
        <f t="shared" si="23"/>
        <v>3.6888794541139363</v>
      </c>
      <c r="AS10" s="151">
        <f t="shared" si="23"/>
        <v>4.0943445622221004</v>
      </c>
      <c r="AT10" s="151">
        <f t="shared" ref="AT10:AY11" si="24">LN(AJ10)</f>
        <v>4.3820266346738812</v>
      </c>
      <c r="AU10" s="151">
        <f t="shared" si="24"/>
        <v>4.6051701859880918</v>
      </c>
      <c r="AV10" s="151">
        <f t="shared" si="24"/>
        <v>4.7874917427820458</v>
      </c>
      <c r="AW10" s="151">
        <f t="shared" si="24"/>
        <v>4.9416424226093039</v>
      </c>
      <c r="AX10" s="151">
        <f t="shared" si="24"/>
        <v>5.0751738152338266</v>
      </c>
      <c r="AY10" s="147">
        <f t="shared" si="24"/>
        <v>5.1929568508902104</v>
      </c>
      <c r="AZ10" s="144" t="s">
        <v>28</v>
      </c>
      <c r="BA10" s="147">
        <f>(SUM(AQ10:AY10))/COLUMNS(AQ10:AY10)</f>
        <v>4.4181575491185985</v>
      </c>
      <c r="BB10" s="144" t="s">
        <v>39</v>
      </c>
      <c r="BC10" s="147">
        <f>(BA12-BA10*BA11)/(BA13-BA10^2)</f>
        <v>0.55717586033151756</v>
      </c>
      <c r="BF10" s="242"/>
      <c r="BG10" s="241">
        <v>50</v>
      </c>
      <c r="BH10" s="144">
        <v>20</v>
      </c>
      <c r="BI10" s="151">
        <v>40</v>
      </c>
      <c r="BJ10" s="151">
        <v>60</v>
      </c>
      <c r="BK10" s="151">
        <v>80</v>
      </c>
      <c r="BL10" s="151">
        <v>100</v>
      </c>
      <c r="BM10" s="151">
        <v>120</v>
      </c>
      <c r="BN10" s="151">
        <v>140</v>
      </c>
      <c r="BO10" s="151">
        <v>160</v>
      </c>
      <c r="BP10" s="151">
        <v>180</v>
      </c>
      <c r="BQ10" s="144" t="s">
        <v>93</v>
      </c>
      <c r="BR10" s="151">
        <f t="shared" ref="BR10:BT11" si="25">LN(BH10)</f>
        <v>2.9957322735539909</v>
      </c>
      <c r="BS10" s="151">
        <f t="shared" si="25"/>
        <v>3.6888794541139363</v>
      </c>
      <c r="BT10" s="151">
        <f t="shared" si="25"/>
        <v>4.0943445622221004</v>
      </c>
      <c r="BU10" s="151">
        <f t="shared" ref="BU10:BU11" si="26">LN(BK10)</f>
        <v>4.3820266346738812</v>
      </c>
      <c r="BV10" s="151">
        <f t="shared" ref="BV10:BV11" si="27">LN(BL10)</f>
        <v>4.6051701859880918</v>
      </c>
      <c r="BW10" s="151">
        <f t="shared" ref="BW10:BW11" si="28">LN(BM10)</f>
        <v>4.7874917427820458</v>
      </c>
      <c r="BX10" s="151">
        <f t="shared" ref="BX10:BX11" si="29">LN(BN10)</f>
        <v>4.9416424226093039</v>
      </c>
      <c r="BY10" s="151">
        <f t="shared" ref="BY10:BY11" si="30">LN(BO10)</f>
        <v>5.0751738152338266</v>
      </c>
      <c r="BZ10" s="147">
        <f t="shared" ref="BZ10:BZ11" si="31">LN(BP10)</f>
        <v>5.1929568508902104</v>
      </c>
      <c r="CA10" s="144" t="s">
        <v>28</v>
      </c>
      <c r="CB10" s="147">
        <f>(SUM(BR10:BZ10))/COLUMNS(BR10:BZ10)</f>
        <v>4.4181575491185985</v>
      </c>
      <c r="CC10" s="144" t="s">
        <v>39</v>
      </c>
      <c r="CD10" s="147">
        <f>(CB12-CB10*CB11)/(CB13-CB10^2)</f>
        <v>0.61325924782741725</v>
      </c>
    </row>
    <row r="11" spans="1:82" ht="15.75" thickBot="1">
      <c r="A11" s="64">
        <v>-40</v>
      </c>
      <c r="B11" s="64">
        <f>M11*0.20408</f>
        <v>5.7142400000000002</v>
      </c>
      <c r="C11" s="64">
        <f t="shared" ref="C11:J11" si="32">N11*0.20408</f>
        <v>8.5713600000000003</v>
      </c>
      <c r="D11" s="64">
        <f t="shared" si="32"/>
        <v>11.061136000000001</v>
      </c>
      <c r="E11" s="64">
        <f t="shared" si="32"/>
        <v>12.755000000000001</v>
      </c>
      <c r="F11" s="64">
        <f t="shared" si="32"/>
        <v>14.081520000000001</v>
      </c>
      <c r="G11" s="64">
        <f t="shared" si="32"/>
        <v>15.101920000000002</v>
      </c>
      <c r="H11" s="64">
        <f t="shared" si="32"/>
        <v>0</v>
      </c>
      <c r="I11" s="64">
        <f t="shared" si="32"/>
        <v>0</v>
      </c>
      <c r="J11" s="64">
        <f t="shared" si="32"/>
        <v>0</v>
      </c>
      <c r="L11" s="64">
        <v>-40</v>
      </c>
      <c r="M11" s="64">
        <v>28</v>
      </c>
      <c r="N11" s="64">
        <v>42</v>
      </c>
      <c r="O11" s="64">
        <v>54.2</v>
      </c>
      <c r="P11" s="64">
        <v>62.5</v>
      </c>
      <c r="Q11" s="64">
        <v>69</v>
      </c>
      <c r="R11" s="64">
        <v>74</v>
      </c>
      <c r="S11" s="64"/>
      <c r="T11" s="64"/>
      <c r="U11" s="64"/>
      <c r="AE11" s="242"/>
      <c r="AF11" s="242"/>
      <c r="AG11" s="146">
        <v>6.1121960000000009</v>
      </c>
      <c r="AH11" s="152">
        <v>9.3060480000000005</v>
      </c>
      <c r="AI11" s="152">
        <v>12.142760000000001</v>
      </c>
      <c r="AJ11" s="61">
        <v>14.18356</v>
      </c>
      <c r="AK11" s="61">
        <v>16.132524000000004</v>
      </c>
      <c r="AL11" s="61">
        <v>17.290678</v>
      </c>
      <c r="AM11" s="61">
        <v>18.3672</v>
      </c>
      <c r="AN11" s="61">
        <v>19.632496000000003</v>
      </c>
      <c r="AO11" s="61">
        <v>21.020240000000001</v>
      </c>
      <c r="AP11" s="146" t="s">
        <v>94</v>
      </c>
      <c r="AQ11" s="152">
        <f t="shared" si="23"/>
        <v>1.8102861194128774</v>
      </c>
      <c r="AR11" s="152">
        <f t="shared" si="23"/>
        <v>2.2306645113717591</v>
      </c>
      <c r="AS11" s="152">
        <f t="shared" si="23"/>
        <v>2.4967331074030032</v>
      </c>
      <c r="AT11" s="152">
        <f t="shared" si="24"/>
        <v>2.6520835474221656</v>
      </c>
      <c r="AU11" s="152">
        <f t="shared" si="24"/>
        <v>2.7808373585069002</v>
      </c>
      <c r="AV11" s="152">
        <f t="shared" si="24"/>
        <v>2.8501675123445338</v>
      </c>
      <c r="AW11" s="152">
        <f t="shared" si="24"/>
        <v>2.910566465181684</v>
      </c>
      <c r="AX11" s="152">
        <f t="shared" si="24"/>
        <v>2.9771861525230801</v>
      </c>
      <c r="AY11" s="149">
        <f t="shared" si="24"/>
        <v>3.0454857830810549</v>
      </c>
      <c r="AZ11" s="145" t="s">
        <v>30</v>
      </c>
      <c r="BA11" s="148">
        <f>(SUM(AQ11:AY11))/COLUMNS(AQ11:AY11)</f>
        <v>2.6393345063607843</v>
      </c>
      <c r="BB11" s="145" t="s">
        <v>95</v>
      </c>
      <c r="BC11" s="148">
        <f>BA11-BA10*BC10</f>
        <v>0.17764377285044031</v>
      </c>
      <c r="BF11" s="242"/>
      <c r="BG11" s="242"/>
      <c r="BH11" s="146">
        <v>5.112196</v>
      </c>
      <c r="BI11" s="152">
        <v>8.3060480000000005</v>
      </c>
      <c r="BJ11" s="152">
        <v>11.142760000000001</v>
      </c>
      <c r="BK11" s="61">
        <v>13.18356</v>
      </c>
      <c r="BL11" s="61">
        <v>15.132524</v>
      </c>
      <c r="BM11" s="61">
        <v>16.290678</v>
      </c>
      <c r="BN11" s="61">
        <v>17.3672</v>
      </c>
      <c r="BO11" s="61">
        <v>18.632496</v>
      </c>
      <c r="BP11" s="61">
        <v>20.020240000000001</v>
      </c>
      <c r="BQ11" s="146" t="s">
        <v>94</v>
      </c>
      <c r="BR11" s="152">
        <f t="shared" si="25"/>
        <v>1.6316290574982897</v>
      </c>
      <c r="BS11" s="152">
        <f t="shared" si="25"/>
        <v>2.1169839241468362</v>
      </c>
      <c r="BT11" s="152">
        <f t="shared" si="25"/>
        <v>2.410789959647559</v>
      </c>
      <c r="BU11" s="152">
        <f t="shared" si="26"/>
        <v>2.578970598823791</v>
      </c>
      <c r="BV11" s="152">
        <f t="shared" si="27"/>
        <v>2.7168463347728657</v>
      </c>
      <c r="BW11" s="152">
        <f t="shared" si="28"/>
        <v>2.7905930423739904</v>
      </c>
      <c r="BX11" s="152">
        <f t="shared" si="29"/>
        <v>2.8545833697924086</v>
      </c>
      <c r="BY11" s="152">
        <f t="shared" si="30"/>
        <v>2.9249071530950359</v>
      </c>
      <c r="BZ11" s="149">
        <f t="shared" si="31"/>
        <v>2.996743761827207</v>
      </c>
      <c r="CA11" s="145" t="s">
        <v>30</v>
      </c>
      <c r="CB11" s="148">
        <f>(SUM(BR11:BZ11))/COLUMNS(BR11:BZ11)</f>
        <v>2.5580052446642205</v>
      </c>
      <c r="CC11" s="145" t="s">
        <v>95</v>
      </c>
      <c r="CD11" s="148">
        <f>CB11-CB10*CD10</f>
        <v>-0.15147073069127659</v>
      </c>
    </row>
    <row r="12" spans="1:82" ht="15.75" thickBot="1">
      <c r="A12" s="64">
        <v>20</v>
      </c>
      <c r="B12" s="64">
        <f t="shared" ref="B12:B13" si="33">M12*0.20408</f>
        <v>6.1224000000000007</v>
      </c>
      <c r="C12" s="64">
        <f t="shared" ref="C12:C13" si="34">N12*0.20408</f>
        <v>9.1836000000000002</v>
      </c>
      <c r="D12" s="64">
        <f t="shared" ref="D12:D13" si="35">O12*0.20408</f>
        <v>11.795824</v>
      </c>
      <c r="E12" s="64">
        <f t="shared" ref="E12:E13" si="36">P12*0.20408</f>
        <v>13.673360000000001</v>
      </c>
      <c r="F12" s="64">
        <f t="shared" ref="F12:F13" si="37">Q12*0.20408</f>
        <v>15.101920000000002</v>
      </c>
      <c r="G12" s="64">
        <f t="shared" ref="G12:G13" si="38">R12*0.20408</f>
        <v>16.3264</v>
      </c>
      <c r="H12" s="64">
        <f t="shared" ref="H12:H13" si="39">S12*0.20408</f>
        <v>17.244759999999999</v>
      </c>
      <c r="I12" s="64">
        <f t="shared" ref="I12:I13" si="40">T12*0.20408</f>
        <v>0</v>
      </c>
      <c r="J12" s="64">
        <f t="shared" ref="J12:J13" si="41">U12*0.20408</f>
        <v>0</v>
      </c>
      <c r="L12" s="64">
        <v>20</v>
      </c>
      <c r="M12" s="64">
        <v>30</v>
      </c>
      <c r="N12" s="64">
        <v>45</v>
      </c>
      <c r="O12" s="64">
        <v>57.8</v>
      </c>
      <c r="P12" s="64">
        <v>67</v>
      </c>
      <c r="Q12" s="64">
        <v>74</v>
      </c>
      <c r="R12" s="64">
        <v>80</v>
      </c>
      <c r="S12" s="64">
        <v>84.5</v>
      </c>
      <c r="T12" s="64"/>
      <c r="U12" s="64"/>
      <c r="AE12" s="242"/>
      <c r="AF12" s="242"/>
      <c r="AG12" s="3"/>
      <c r="AH12" s="3"/>
      <c r="AI12" s="3"/>
      <c r="AS12" s="3"/>
      <c r="AT12" s="3"/>
      <c r="AU12" s="3"/>
      <c r="AV12" s="3"/>
      <c r="AZ12" s="145" t="s">
        <v>29</v>
      </c>
      <c r="BA12" s="148">
        <f>(AQ10*AQ11+AR10*AR11+AS10*AS11+AT10*AT11+AU10*AU11+AV10*AV11+AW10*AW11+AX10*AX11+AY10*AY11)/9</f>
        <v>11.917216256839133</v>
      </c>
      <c r="BB12" s="146" t="s">
        <v>40</v>
      </c>
      <c r="BC12" s="149">
        <f>EXP(BC11)</f>
        <v>1.194399767817736</v>
      </c>
      <c r="BF12" s="242"/>
      <c r="BG12" s="242"/>
      <c r="BH12" s="3"/>
      <c r="BI12" s="3"/>
      <c r="BJ12" s="3"/>
      <c r="BT12" s="3"/>
      <c r="BU12" s="3"/>
      <c r="BV12" s="3"/>
      <c r="BW12" s="3"/>
      <c r="CA12" s="145" t="s">
        <v>29</v>
      </c>
      <c r="CB12" s="148">
        <f>(BR10*BR11+BS10*BS11+BT10*BT11+BU10*BU11+BV10*BV11+BW10*BW11+BX10*BX11+BY10*BY11+BZ10*BZ11)/9</f>
        <v>11.58368103954667</v>
      </c>
      <c r="CC12" s="146" t="s">
        <v>40</v>
      </c>
      <c r="CD12" s="149">
        <f>EXP(CD11)</f>
        <v>0.85944303720837767</v>
      </c>
    </row>
    <row r="13" spans="1:82" ht="15.75" thickBot="1">
      <c r="A13" s="64">
        <v>50</v>
      </c>
      <c r="B13" s="64">
        <f t="shared" si="33"/>
        <v>6.1224000000000007</v>
      </c>
      <c r="C13" s="64">
        <f t="shared" si="34"/>
        <v>9.3876800000000014</v>
      </c>
      <c r="D13" s="64">
        <f t="shared" si="35"/>
        <v>12.244800000000001</v>
      </c>
      <c r="E13" s="64">
        <f t="shared" si="36"/>
        <v>14.285600000000001</v>
      </c>
      <c r="F13" s="64">
        <f t="shared" si="37"/>
        <v>15.959056000000002</v>
      </c>
      <c r="G13" s="64">
        <f t="shared" si="38"/>
        <v>17.244759999999999</v>
      </c>
      <c r="H13" s="64">
        <f t="shared" si="39"/>
        <v>18.3672</v>
      </c>
      <c r="I13" s="64">
        <f t="shared" si="40"/>
        <v>19.59168</v>
      </c>
      <c r="J13" s="64">
        <f t="shared" si="41"/>
        <v>21.020240000000001</v>
      </c>
      <c r="L13" s="64">
        <v>50</v>
      </c>
      <c r="M13" s="64">
        <v>30</v>
      </c>
      <c r="N13" s="64">
        <v>46</v>
      </c>
      <c r="O13" s="64">
        <v>60</v>
      </c>
      <c r="P13" s="64">
        <v>70</v>
      </c>
      <c r="Q13" s="64">
        <v>78.2</v>
      </c>
      <c r="R13" s="64">
        <v>84.5</v>
      </c>
      <c r="S13" s="64">
        <v>90</v>
      </c>
      <c r="T13" s="64">
        <v>96</v>
      </c>
      <c r="U13" s="64">
        <v>103</v>
      </c>
      <c r="AE13" s="243"/>
      <c r="AF13" s="243"/>
      <c r="AG13" s="3"/>
      <c r="AH13" s="3"/>
      <c r="AI13" s="3"/>
      <c r="AS13" s="3"/>
      <c r="AT13" s="3"/>
      <c r="AU13" s="3"/>
      <c r="AV13" s="3"/>
      <c r="AZ13" s="146" t="s">
        <v>31</v>
      </c>
      <c r="BA13" s="149">
        <f>(AQ10^2+AR10^2+AS10^2+AT10^2+AU10^2+AV10^2+AW10^2+AX10^2+AY10^2)/9</f>
        <v>19.979971986120038</v>
      </c>
      <c r="BB13" s="3"/>
      <c r="BC13" s="3"/>
      <c r="BF13" s="243"/>
      <c r="BG13" s="243"/>
      <c r="BH13" s="3"/>
      <c r="BI13" s="3"/>
      <c r="BJ13" s="3"/>
      <c r="BT13" s="3"/>
      <c r="BU13" s="3"/>
      <c r="BV13" s="3"/>
      <c r="BW13" s="3"/>
      <c r="CA13" s="146" t="s">
        <v>31</v>
      </c>
      <c r="CB13" s="149">
        <f>(BR10^2+BS10^2+BT10^2+BU10^2+BV10^2+BW10^2+BX10^2+BY10^2+BZ10^2)/9</f>
        <v>19.979971986120038</v>
      </c>
      <c r="CC13" s="3"/>
      <c r="CD13" s="3"/>
    </row>
    <row r="15" spans="1:82" ht="15.75" thickBot="1"/>
    <row r="16" spans="1:82" ht="15.75" thickBot="1">
      <c r="A16" s="64" t="s">
        <v>83</v>
      </c>
      <c r="B16" s="64">
        <v>20</v>
      </c>
      <c r="C16" s="64">
        <v>40</v>
      </c>
      <c r="D16" s="64">
        <v>60</v>
      </c>
      <c r="E16" s="64">
        <v>80</v>
      </c>
      <c r="F16" s="64">
        <v>100</v>
      </c>
      <c r="G16" s="64">
        <v>120</v>
      </c>
      <c r="H16" s="64">
        <v>140</v>
      </c>
      <c r="I16" s="64">
        <v>160</v>
      </c>
      <c r="J16" s="64">
        <v>180</v>
      </c>
      <c r="L16" s="64" t="s">
        <v>86</v>
      </c>
      <c r="M16" s="64">
        <v>20</v>
      </c>
      <c r="N16" s="64">
        <v>40</v>
      </c>
      <c r="O16" s="64">
        <v>60</v>
      </c>
      <c r="P16" s="64">
        <v>80</v>
      </c>
      <c r="Q16" s="64">
        <v>100</v>
      </c>
      <c r="R16" s="64">
        <v>120</v>
      </c>
      <c r="S16" s="64">
        <v>140</v>
      </c>
      <c r="T16" s="64">
        <v>160</v>
      </c>
      <c r="U16" s="64">
        <v>180</v>
      </c>
      <c r="BA16" s="220" t="s">
        <v>106</v>
      </c>
      <c r="BB16" s="214"/>
      <c r="BC16" s="214"/>
      <c r="BD16" s="214"/>
      <c r="BE16" s="214"/>
      <c r="BF16" s="215"/>
    </row>
    <row r="17" spans="1:58" ht="15.75" thickBot="1">
      <c r="A17" s="64">
        <v>-40</v>
      </c>
      <c r="B17" s="64">
        <f>M17*0.20408</f>
        <v>5.6122000000000005</v>
      </c>
      <c r="C17" s="64">
        <f t="shared" ref="C17:J17" si="42">N17*0.20408</f>
        <v>8.510136000000001</v>
      </c>
      <c r="D17" s="64">
        <f t="shared" si="42"/>
        <v>10.816240000000001</v>
      </c>
      <c r="E17" s="64">
        <f t="shared" si="42"/>
        <v>12.673368000000002</v>
      </c>
      <c r="F17" s="64">
        <f t="shared" si="42"/>
        <v>14.081520000000001</v>
      </c>
      <c r="G17" s="64">
        <f t="shared" si="42"/>
        <v>15.081512000000002</v>
      </c>
      <c r="H17" s="64">
        <f t="shared" si="42"/>
        <v>15.938648000000001</v>
      </c>
      <c r="I17" s="64">
        <f t="shared" si="42"/>
        <v>0</v>
      </c>
      <c r="J17" s="64">
        <f t="shared" si="42"/>
        <v>0</v>
      </c>
      <c r="L17" s="64">
        <v>-40</v>
      </c>
      <c r="M17" s="64">
        <v>27.5</v>
      </c>
      <c r="N17" s="64">
        <v>41.7</v>
      </c>
      <c r="O17" s="64">
        <v>53</v>
      </c>
      <c r="P17" s="64">
        <v>62.1</v>
      </c>
      <c r="Q17" s="64">
        <v>69</v>
      </c>
      <c r="R17" s="64">
        <v>73.900000000000006</v>
      </c>
      <c r="S17" s="64">
        <v>78.099999999999994</v>
      </c>
      <c r="T17" s="64"/>
      <c r="U17" s="64"/>
      <c r="BA17" s="220" t="s">
        <v>107</v>
      </c>
      <c r="BB17" s="215"/>
      <c r="BC17" s="220" t="s">
        <v>108</v>
      </c>
      <c r="BD17" s="215"/>
      <c r="BE17" s="220" t="s">
        <v>109</v>
      </c>
      <c r="BF17" s="215"/>
    </row>
    <row r="18" spans="1:58" ht="15.75" thickBot="1">
      <c r="A18" s="64">
        <v>20</v>
      </c>
      <c r="B18" s="64">
        <f t="shared" ref="B18:B19" si="43">M18*0.20408</f>
        <v>6.0203600000000002</v>
      </c>
      <c r="C18" s="64">
        <f t="shared" ref="C18:C19" si="44">N18*0.20408</f>
        <v>8.9795200000000008</v>
      </c>
      <c r="D18" s="64">
        <f t="shared" ref="D18:D19" si="45">O18*0.20408</f>
        <v>11.448888</v>
      </c>
      <c r="E18" s="64">
        <f t="shared" ref="E18:E19" si="46">P18*0.20408</f>
        <v>13.57132</v>
      </c>
      <c r="F18" s="64">
        <f t="shared" ref="F18:F19" si="47">Q18*0.20408</f>
        <v>15.101920000000002</v>
      </c>
      <c r="G18" s="64">
        <f t="shared" ref="G18:G19" si="48">R18*0.20408</f>
        <v>16.387623999999999</v>
      </c>
      <c r="H18" s="64">
        <f t="shared" ref="H18:H19" si="49">S18*0.20408</f>
        <v>17.346800000000002</v>
      </c>
      <c r="I18" s="64">
        <f t="shared" ref="I18:I19" si="50">T18*0.20408</f>
        <v>0</v>
      </c>
      <c r="J18" s="64">
        <f t="shared" ref="J18:J19" si="51">U18*0.20408</f>
        <v>0</v>
      </c>
      <c r="L18" s="64">
        <v>20</v>
      </c>
      <c r="M18" s="64">
        <v>29.5</v>
      </c>
      <c r="N18" s="64">
        <v>44</v>
      </c>
      <c r="O18" s="64">
        <v>56.1</v>
      </c>
      <c r="P18" s="64">
        <v>66.5</v>
      </c>
      <c r="Q18" s="64">
        <v>74</v>
      </c>
      <c r="R18" s="64">
        <v>80.3</v>
      </c>
      <c r="S18" s="64">
        <v>85</v>
      </c>
      <c r="T18" s="64"/>
      <c r="U18" s="64"/>
      <c r="BA18" s="136" t="s">
        <v>110</v>
      </c>
      <c r="BB18" s="136" t="s">
        <v>111</v>
      </c>
      <c r="BC18" s="136" t="s">
        <v>110</v>
      </c>
      <c r="BD18" s="173" t="s">
        <v>111</v>
      </c>
      <c r="BE18" s="136" t="s">
        <v>110</v>
      </c>
      <c r="BF18" s="136" t="s">
        <v>111</v>
      </c>
    </row>
    <row r="19" spans="1:58">
      <c r="A19" s="64">
        <v>50</v>
      </c>
      <c r="B19" s="64">
        <f t="shared" si="43"/>
        <v>6.1019920000000001</v>
      </c>
      <c r="C19" s="64">
        <f t="shared" si="44"/>
        <v>9.2244160000000015</v>
      </c>
      <c r="D19" s="64">
        <f t="shared" si="45"/>
        <v>12.04072</v>
      </c>
      <c r="E19" s="64">
        <f t="shared" si="46"/>
        <v>14.081520000000001</v>
      </c>
      <c r="F19" s="64">
        <f t="shared" si="47"/>
        <v>16.305992000000003</v>
      </c>
      <c r="G19" s="64">
        <f t="shared" si="48"/>
        <v>17.336596</v>
      </c>
      <c r="H19" s="64">
        <f t="shared" si="49"/>
        <v>18.3672</v>
      </c>
      <c r="I19" s="64">
        <f t="shared" si="50"/>
        <v>19.673312000000003</v>
      </c>
      <c r="J19" s="64">
        <f t="shared" si="51"/>
        <v>21.020240000000001</v>
      </c>
      <c r="L19" s="64">
        <v>50</v>
      </c>
      <c r="M19" s="64">
        <v>29.9</v>
      </c>
      <c r="N19" s="64">
        <v>45.2</v>
      </c>
      <c r="O19" s="64">
        <v>59</v>
      </c>
      <c r="P19" s="64">
        <v>69</v>
      </c>
      <c r="Q19" s="64">
        <v>79.900000000000006</v>
      </c>
      <c r="R19" s="64">
        <v>84.95</v>
      </c>
      <c r="S19" s="64">
        <v>90</v>
      </c>
      <c r="T19" s="64">
        <v>96.4</v>
      </c>
      <c r="U19" s="64">
        <v>103</v>
      </c>
      <c r="BA19" s="13">
        <v>20</v>
      </c>
      <c r="BB19" s="60">
        <f>$BC$4*BA19^$BC$2</f>
        <v>5.8398083535632423</v>
      </c>
      <c r="BC19" s="13">
        <v>20</v>
      </c>
      <c r="BD19" s="8">
        <f>$BC$8*BC19^$BC$6</f>
        <v>6.2103854682569093</v>
      </c>
      <c r="BE19" s="13">
        <v>20</v>
      </c>
      <c r="BF19" s="60">
        <f>$BC$12*BE19^$BC$10</f>
        <v>6.339459292330492</v>
      </c>
    </row>
    <row r="20" spans="1:58">
      <c r="BA20" s="13">
        <v>21.5</v>
      </c>
      <c r="BB20" s="60">
        <f t="shared" ref="BB20:BB83" si="52">$BC$4*BA20^$BC$2</f>
        <v>6.0716181354073173</v>
      </c>
      <c r="BC20" s="13">
        <v>21.5</v>
      </c>
      <c r="BD20" s="8">
        <f t="shared" ref="BD20:BD83" si="53">$BC$8*BC20^$BC$6</f>
        <v>6.4603086567179586</v>
      </c>
      <c r="BE20" s="13">
        <v>21.5</v>
      </c>
      <c r="BF20" s="60">
        <f t="shared" ref="BF20:BF83" si="54">$BC$12*BE20^$BC$10</f>
        <v>6.6001264406700288</v>
      </c>
    </row>
    <row r="21" spans="1:58">
      <c r="BA21" s="13">
        <v>23</v>
      </c>
      <c r="BB21" s="60">
        <f t="shared" si="52"/>
        <v>6.2960720317111667</v>
      </c>
      <c r="BC21" s="13">
        <v>23</v>
      </c>
      <c r="BD21" s="8">
        <f t="shared" si="53"/>
        <v>6.7024243733764557</v>
      </c>
      <c r="BE21" s="13">
        <v>23</v>
      </c>
      <c r="BF21" s="60">
        <f t="shared" si="54"/>
        <v>6.8528557292266319</v>
      </c>
    </row>
    <row r="22" spans="1:58" ht="15.75" thickBot="1">
      <c r="BA22" s="13">
        <v>24.5</v>
      </c>
      <c r="BB22" s="60">
        <f t="shared" si="52"/>
        <v>6.5138618327728208</v>
      </c>
      <c r="BC22" s="13">
        <v>24.5</v>
      </c>
      <c r="BD22" s="8">
        <f t="shared" si="53"/>
        <v>6.9374633912645791</v>
      </c>
      <c r="BE22" s="13">
        <v>24.5</v>
      </c>
      <c r="BF22" s="60">
        <f t="shared" si="54"/>
        <v>7.0983844722815181</v>
      </c>
    </row>
    <row r="23" spans="1:58" ht="15.75" thickBot="1">
      <c r="A23" s="235" t="s">
        <v>92</v>
      </c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6"/>
      <c r="M23" s="244"/>
      <c r="AB23" s="235" t="s">
        <v>115</v>
      </c>
      <c r="AC23" s="236"/>
      <c r="AD23" s="236"/>
      <c r="AE23" s="236"/>
      <c r="AF23" s="236"/>
      <c r="AG23" s="236"/>
      <c r="AH23" s="236"/>
      <c r="AI23" s="236"/>
      <c r="AJ23" s="236"/>
      <c r="AK23" s="236"/>
      <c r="AL23" s="244"/>
      <c r="AN23" s="238" t="s">
        <v>123</v>
      </c>
      <c r="AO23" s="239"/>
      <c r="AP23" s="239"/>
      <c r="AQ23" s="239"/>
      <c r="AR23" s="239"/>
      <c r="AS23" s="240"/>
      <c r="BA23" s="13">
        <v>26</v>
      </c>
      <c r="BB23" s="60">
        <f t="shared" si="52"/>
        <v>6.7255763354857869</v>
      </c>
      <c r="BC23" s="13">
        <v>26</v>
      </c>
      <c r="BD23" s="8">
        <f t="shared" si="53"/>
        <v>7.1660479839005689</v>
      </c>
      <c r="BE23" s="13">
        <v>26</v>
      </c>
      <c r="BF23" s="60">
        <f t="shared" si="54"/>
        <v>7.3373409930459124</v>
      </c>
    </row>
    <row r="24" spans="1:58" ht="15.75" thickBot="1">
      <c r="A24" s="241" t="s">
        <v>87</v>
      </c>
      <c r="B24" s="241">
        <v>-40</v>
      </c>
      <c r="C24" s="151">
        <v>20</v>
      </c>
      <c r="D24" s="151">
        <v>40</v>
      </c>
      <c r="E24" s="147">
        <v>60</v>
      </c>
      <c r="F24" s="144" t="s">
        <v>93</v>
      </c>
      <c r="G24" s="151">
        <f>LN(C24)</f>
        <v>2.9957322735539909</v>
      </c>
      <c r="H24" s="151">
        <f t="shared" ref="H24:I25" si="55">LN(D24)</f>
        <v>3.6888794541139363</v>
      </c>
      <c r="I24" s="151">
        <f t="shared" si="55"/>
        <v>4.0943445622221004</v>
      </c>
      <c r="J24" s="144" t="s">
        <v>28</v>
      </c>
      <c r="K24" s="147">
        <f>(G24+H24+I24)/3</f>
        <v>3.5929854299633424</v>
      </c>
      <c r="L24" s="144" t="s">
        <v>39</v>
      </c>
      <c r="M24" s="147">
        <f>(K26-K24*K25)/(K27-K24^2)</f>
        <v>0.59852445609522298</v>
      </c>
      <c r="N24" s="3"/>
      <c r="O24" s="3"/>
      <c r="P24" s="3"/>
      <c r="AB24" s="241" t="s">
        <v>116</v>
      </c>
      <c r="AC24" s="241">
        <v>-40</v>
      </c>
      <c r="AD24" s="151">
        <v>20</v>
      </c>
      <c r="AE24" s="151">
        <v>40</v>
      </c>
      <c r="AF24" s="144" t="s">
        <v>93</v>
      </c>
      <c r="AG24" s="151">
        <f>LN(AD24)</f>
        <v>2.9957322735539909</v>
      </c>
      <c r="AH24" s="151">
        <f t="shared" ref="AH24:AH25" si="56">LN(AE24)</f>
        <v>3.6888794541139363</v>
      </c>
      <c r="AI24" s="144" t="s">
        <v>28</v>
      </c>
      <c r="AJ24" s="147">
        <f>(AG24+AH24)/2</f>
        <v>3.3423058638339636</v>
      </c>
      <c r="AK24" s="144" t="s">
        <v>39</v>
      </c>
      <c r="AL24" s="147">
        <f>(AJ26-AJ24*AJ25)/(AJ27-AJ24^2)</f>
        <v>0.59273985131287488</v>
      </c>
      <c r="AN24" s="220">
        <v>-40</v>
      </c>
      <c r="AO24" s="215"/>
      <c r="AP24" s="220">
        <v>20</v>
      </c>
      <c r="AQ24" s="215"/>
      <c r="AR24" s="220">
        <v>50</v>
      </c>
      <c r="AS24" s="215"/>
      <c r="BA24" s="13">
        <v>27.5</v>
      </c>
      <c r="BB24" s="60">
        <f t="shared" ref="BB24:BB47" si="57">$BC$4*BA24^$BC$2</f>
        <v>6.9317216845048399</v>
      </c>
      <c r="BC24" s="13">
        <v>27.5</v>
      </c>
      <c r="BD24" s="8">
        <f t="shared" ref="BD24:BD47" si="58">$BC$8*BC24^$BC$6</f>
        <v>7.388713313388064</v>
      </c>
      <c r="BE24" s="13">
        <v>27.5</v>
      </c>
      <c r="BF24" s="60">
        <f t="shared" ref="BF24:BF47" si="59">$BC$12*BE24^$BC$10</f>
        <v>7.5702660436433868</v>
      </c>
    </row>
    <row r="25" spans="1:58" ht="15.75" thickBot="1">
      <c r="A25" s="242"/>
      <c r="B25" s="242"/>
      <c r="C25" s="152">
        <v>5.6632200000000008</v>
      </c>
      <c r="D25" s="152">
        <v>8.5407480000000007</v>
      </c>
      <c r="E25" s="149">
        <v>10.938688000000001</v>
      </c>
      <c r="F25" s="146" t="s">
        <v>94</v>
      </c>
      <c r="G25" s="152">
        <f>LN(C25)</f>
        <v>1.7339926350438626</v>
      </c>
      <c r="H25" s="152">
        <f t="shared" si="55"/>
        <v>2.1448485917869031</v>
      </c>
      <c r="I25" s="152">
        <f t="shared" si="55"/>
        <v>2.3923058629281755</v>
      </c>
      <c r="J25" s="145" t="s">
        <v>30</v>
      </c>
      <c r="K25" s="148">
        <f>(G25+H25+I25)/3</f>
        <v>2.0903823632529801</v>
      </c>
      <c r="L25" s="145" t="s">
        <v>95</v>
      </c>
      <c r="M25" s="148">
        <f>K25-K24*M24</f>
        <v>-6.0107286973890339E-2</v>
      </c>
      <c r="N25" s="3"/>
      <c r="O25" s="3"/>
      <c r="P25" s="3"/>
      <c r="AB25" s="242"/>
      <c r="AC25" s="242"/>
      <c r="AD25" s="152">
        <v>5.6632200000000008</v>
      </c>
      <c r="AE25" s="152">
        <v>8.5407480000000007</v>
      </c>
      <c r="AF25" s="146" t="s">
        <v>94</v>
      </c>
      <c r="AG25" s="152">
        <f>LN(AD25)</f>
        <v>1.7339926350438626</v>
      </c>
      <c r="AH25" s="152">
        <f t="shared" si="56"/>
        <v>2.1448485917869031</v>
      </c>
      <c r="AI25" s="145" t="s">
        <v>30</v>
      </c>
      <c r="AJ25" s="148">
        <f>(AG25+AH25)/2</f>
        <v>1.9394206134153829</v>
      </c>
      <c r="AK25" s="145" t="s">
        <v>95</v>
      </c>
      <c r="AL25" s="148">
        <f>AJ25-AJ24*AL24</f>
        <v>-4.1697267355710554E-2</v>
      </c>
      <c r="AN25" s="173" t="s">
        <v>124</v>
      </c>
      <c r="AO25" s="176" t="s">
        <v>125</v>
      </c>
      <c r="AP25" s="173" t="s">
        <v>124</v>
      </c>
      <c r="AQ25" s="176" t="s">
        <v>125</v>
      </c>
      <c r="AR25" s="173" t="s">
        <v>124</v>
      </c>
      <c r="AS25" s="176" t="s">
        <v>125</v>
      </c>
      <c r="BA25" s="13">
        <v>29</v>
      </c>
      <c r="BB25" s="60">
        <f t="shared" si="57"/>
        <v>7.1327368131731896</v>
      </c>
      <c r="BC25" s="13">
        <v>29</v>
      </c>
      <c r="BD25" s="8">
        <f t="shared" si="58"/>
        <v>7.6059236734294622</v>
      </c>
      <c r="BE25" s="13">
        <v>29</v>
      </c>
      <c r="BF25" s="60">
        <f t="shared" si="59"/>
        <v>7.7976290841121196</v>
      </c>
    </row>
    <row r="26" spans="1:58" ht="15.75" thickBot="1">
      <c r="A26" s="242"/>
      <c r="B26" s="242"/>
      <c r="C26" s="3"/>
      <c r="D26" s="3"/>
      <c r="E26" s="3"/>
      <c r="F26" s="3"/>
      <c r="G26" s="3"/>
      <c r="H26" s="3"/>
      <c r="I26" s="3"/>
      <c r="J26" s="145" t="s">
        <v>29</v>
      </c>
      <c r="K26" s="148">
        <f>(G24*G25+H24*H25+I24*I25)/3</f>
        <v>7.633863367461923</v>
      </c>
      <c r="L26" s="146" t="s">
        <v>40</v>
      </c>
      <c r="M26" s="149">
        <f>EXP(M25)</f>
        <v>0.94166349993721721</v>
      </c>
      <c r="N26" s="3"/>
      <c r="O26" s="3"/>
      <c r="P26" s="3"/>
      <c r="AB26" s="242"/>
      <c r="AC26" s="242"/>
      <c r="AD26" s="3"/>
      <c r="AE26" s="3"/>
      <c r="AF26" s="3"/>
      <c r="AG26" s="3"/>
      <c r="AH26" s="3"/>
      <c r="AI26" s="145" t="s">
        <v>29</v>
      </c>
      <c r="AJ26" s="148">
        <f>(AG24*AG25+AH24*AH25)/2</f>
        <v>6.5533328006668707</v>
      </c>
      <c r="AK26" s="146" t="s">
        <v>40</v>
      </c>
      <c r="AL26" s="149">
        <f>EXP(AL25)</f>
        <v>0.95916010569991594</v>
      </c>
      <c r="AN26" s="13">
        <v>20</v>
      </c>
      <c r="AO26" s="60">
        <f>$AL$26*AN26^$AL$24</f>
        <v>5.6632200000000008</v>
      </c>
      <c r="AP26" s="73">
        <f>AN26</f>
        <v>20</v>
      </c>
      <c r="AQ26" s="75">
        <f>$AL$30*AP26^$AL$28</f>
        <v>6.0713799999999853</v>
      </c>
      <c r="AR26" s="73">
        <f>AN26</f>
        <v>20</v>
      </c>
      <c r="AS26" s="75">
        <f>$AL$34*AR26^$AL$32</f>
        <v>6.1121959999999964</v>
      </c>
      <c r="BA26" s="13">
        <v>30.5</v>
      </c>
      <c r="BB26" s="60">
        <f t="shared" si="57"/>
        <v>7.3290053557020904</v>
      </c>
      <c r="BC26" s="13">
        <v>30.5</v>
      </c>
      <c r="BD26" s="8">
        <f t="shared" si="58"/>
        <v>7.8180850256335361</v>
      </c>
      <c r="BE26" s="13">
        <v>30.5</v>
      </c>
      <c r="BF26" s="60">
        <f t="shared" si="59"/>
        <v>8.0198408550430909</v>
      </c>
    </row>
    <row r="27" spans="1:58" ht="15.75" thickBot="1">
      <c r="A27" s="242"/>
      <c r="B27" s="243"/>
      <c r="C27" s="3"/>
      <c r="D27" s="3"/>
      <c r="E27" s="3"/>
      <c r="F27" s="3"/>
      <c r="G27" s="3"/>
      <c r="H27" s="3"/>
      <c r="I27" s="3"/>
      <c r="J27" s="146" t="s">
        <v>31</v>
      </c>
      <c r="K27" s="149">
        <f>(G24^2+H24^2+I24^2)/3</f>
        <v>13.11530029199819</v>
      </c>
      <c r="L27" s="3"/>
      <c r="M27" s="3"/>
      <c r="N27" s="3"/>
      <c r="O27" s="3"/>
      <c r="P27" s="3"/>
      <c r="AB27" s="242"/>
      <c r="AC27" s="243"/>
      <c r="AD27" s="3"/>
      <c r="AE27" s="3"/>
      <c r="AF27" s="3"/>
      <c r="AG27" s="3"/>
      <c r="AH27" s="3"/>
      <c r="AI27" s="146" t="s">
        <v>31</v>
      </c>
      <c r="AJ27" s="149">
        <f>(AG24^2+AH24^2)/2</f>
        <v>11.291121740898447</v>
      </c>
      <c r="AK27" s="3"/>
      <c r="AL27" s="3"/>
      <c r="AN27" s="13">
        <v>22</v>
      </c>
      <c r="AO27" s="60">
        <f t="shared" ref="AO27:AO35" si="60">$AL$26*AN27^$AL$24</f>
        <v>5.9923687029066475</v>
      </c>
      <c r="AP27" s="13">
        <f t="shared" ref="AP27:AP90" si="61">AN27</f>
        <v>22</v>
      </c>
      <c r="AQ27" s="60">
        <f t="shared" ref="AQ27:AQ35" si="62">$AL$30*AP27^$AL$28</f>
        <v>6.417015303346294</v>
      </c>
      <c r="AR27" s="13">
        <f t="shared" ref="AR27:AR90" si="63">AN27</f>
        <v>22</v>
      </c>
      <c r="AS27" s="60">
        <f t="shared" ref="AS27:AS35" si="64">$AL$34*AR27^$AL$32</f>
        <v>6.4759131820318254</v>
      </c>
      <c r="BA27" s="13">
        <v>32</v>
      </c>
      <c r="BB27" s="60">
        <f t="shared" si="57"/>
        <v>7.5208649699634522</v>
      </c>
      <c r="BC27" s="13">
        <v>32</v>
      </c>
      <c r="BD27" s="8">
        <f t="shared" si="58"/>
        <v>8.0255548147174149</v>
      </c>
      <c r="BE27" s="13">
        <v>32</v>
      </c>
      <c r="BF27" s="60">
        <f t="shared" si="59"/>
        <v>8.2372632275537114</v>
      </c>
    </row>
    <row r="28" spans="1:58">
      <c r="A28" s="242"/>
      <c r="B28" s="241">
        <v>20</v>
      </c>
      <c r="C28" s="151">
        <v>20</v>
      </c>
      <c r="D28" s="151">
        <v>40</v>
      </c>
      <c r="E28" s="147">
        <v>60</v>
      </c>
      <c r="F28" s="144" t="s">
        <v>93</v>
      </c>
      <c r="G28" s="151">
        <f>LN(C28)</f>
        <v>2.9957322735539909</v>
      </c>
      <c r="H28" s="151">
        <f t="shared" ref="H28:H29" si="65">LN(D28)</f>
        <v>3.6888794541139363</v>
      </c>
      <c r="I28" s="151">
        <f t="shared" ref="I28:I29" si="66">LN(E28)</f>
        <v>4.0943445622221004</v>
      </c>
      <c r="J28" s="144" t="s">
        <v>28</v>
      </c>
      <c r="K28" s="147">
        <f>(G28+H28+I28)/3</f>
        <v>3.5929854299633424</v>
      </c>
      <c r="L28" s="144" t="s">
        <v>39</v>
      </c>
      <c r="M28" s="147">
        <f>(K30-K28*K29)/(K31-K28^2)</f>
        <v>0.58996664555869494</v>
      </c>
      <c r="N28" s="3"/>
      <c r="O28" s="3"/>
      <c r="P28" s="3"/>
      <c r="AB28" s="242"/>
      <c r="AC28" s="241">
        <v>20</v>
      </c>
      <c r="AD28" s="151">
        <v>20</v>
      </c>
      <c r="AE28" s="151">
        <v>40</v>
      </c>
      <c r="AF28" s="144" t="s">
        <v>93</v>
      </c>
      <c r="AG28" s="151">
        <f>LN(AD28)</f>
        <v>2.9957322735539909</v>
      </c>
      <c r="AH28" s="151">
        <f t="shared" ref="AH28:AH29" si="67">LN(AE28)</f>
        <v>3.6888794541139363</v>
      </c>
      <c r="AI28" s="144" t="s">
        <v>28</v>
      </c>
      <c r="AJ28" s="147">
        <f>(AG28+AH28)/2</f>
        <v>3.3423058638339636</v>
      </c>
      <c r="AK28" s="144" t="s">
        <v>39</v>
      </c>
      <c r="AL28" s="147">
        <f>(AJ30-AJ28*AJ29)/(AJ31-AJ28^2)</f>
        <v>0.58091566765846081</v>
      </c>
      <c r="AN28" s="13">
        <v>24</v>
      </c>
      <c r="AO28" s="60">
        <f t="shared" si="60"/>
        <v>6.309534408309859</v>
      </c>
      <c r="AP28" s="13">
        <f t="shared" si="61"/>
        <v>24</v>
      </c>
      <c r="AQ28" s="60">
        <f t="shared" si="62"/>
        <v>6.7497088845295492</v>
      </c>
      <c r="AR28" s="13">
        <f t="shared" si="63"/>
        <v>24</v>
      </c>
      <c r="AS28" s="60">
        <f t="shared" si="64"/>
        <v>6.8268276991464791</v>
      </c>
      <c r="BA28" s="13">
        <v>33.5</v>
      </c>
      <c r="BB28" s="60">
        <f t="shared" si="57"/>
        <v>7.708614728083707</v>
      </c>
      <c r="BC28" s="13">
        <v>33.5</v>
      </c>
      <c r="BD28" s="8">
        <f t="shared" si="58"/>
        <v>8.2286497524220721</v>
      </c>
      <c r="BE28" s="13">
        <v>33.5</v>
      </c>
      <c r="BF28" s="60">
        <f t="shared" si="59"/>
        <v>8.4502170195336319</v>
      </c>
    </row>
    <row r="29" spans="1:58" ht="15.75" thickBot="1">
      <c r="A29" s="242"/>
      <c r="B29" s="242"/>
      <c r="C29" s="152">
        <v>6.0713800000000004</v>
      </c>
      <c r="D29" s="152">
        <v>9.0815599999999996</v>
      </c>
      <c r="E29" s="149">
        <v>11.622356</v>
      </c>
      <c r="F29" s="146" t="s">
        <v>94</v>
      </c>
      <c r="G29" s="152">
        <f>LN(C29)</f>
        <v>1.8035859268430579</v>
      </c>
      <c r="H29" s="152">
        <f t="shared" si="65"/>
        <v>2.2062459840236133</v>
      </c>
      <c r="I29" s="152">
        <f t="shared" si="66"/>
        <v>2.4529304847446101</v>
      </c>
      <c r="J29" s="145" t="s">
        <v>30</v>
      </c>
      <c r="K29" s="148">
        <f>(G29+H29+I29)/3</f>
        <v>2.1542541318704269</v>
      </c>
      <c r="L29" s="145" t="s">
        <v>95</v>
      </c>
      <c r="M29" s="148">
        <f>K29-K28*M28</f>
        <v>3.4512570213688587E-2</v>
      </c>
      <c r="N29" s="3"/>
      <c r="O29" s="3"/>
      <c r="P29" s="3"/>
      <c r="AB29" s="242"/>
      <c r="AC29" s="242"/>
      <c r="AD29" s="152">
        <v>6.0713800000000004</v>
      </c>
      <c r="AE29" s="152">
        <v>9.0815599999999996</v>
      </c>
      <c r="AF29" s="146" t="s">
        <v>94</v>
      </c>
      <c r="AG29" s="152">
        <f>LN(AD29)</f>
        <v>1.8035859268430579</v>
      </c>
      <c r="AH29" s="152">
        <f t="shared" si="67"/>
        <v>2.2062459840236133</v>
      </c>
      <c r="AI29" s="145" t="s">
        <v>30</v>
      </c>
      <c r="AJ29" s="148">
        <f>(AG29+AH29)/2</f>
        <v>2.0049159554333356</v>
      </c>
      <c r="AK29" s="145" t="s">
        <v>95</v>
      </c>
      <c r="AL29" s="148">
        <f>AJ29-AJ28*AL28</f>
        <v>6.3318113025440104E-2</v>
      </c>
      <c r="AN29" s="13">
        <v>26</v>
      </c>
      <c r="AO29" s="60">
        <f t="shared" si="60"/>
        <v>6.6161021017628778</v>
      </c>
      <c r="AP29" s="13">
        <f t="shared" si="61"/>
        <v>26</v>
      </c>
      <c r="AQ29" s="60">
        <f t="shared" si="62"/>
        <v>7.070968365009354</v>
      </c>
      <c r="AR29" s="13">
        <f t="shared" si="63"/>
        <v>26</v>
      </c>
      <c r="AS29" s="60">
        <f t="shared" si="64"/>
        <v>7.1664056647771979</v>
      </c>
      <c r="BA29" s="13">
        <v>35</v>
      </c>
      <c r="BB29" s="60">
        <f t="shared" si="57"/>
        <v>7.8925210434088653</v>
      </c>
      <c r="BC29" s="13">
        <v>35</v>
      </c>
      <c r="BD29" s="8">
        <f t="shared" si="58"/>
        <v>8.4276520621663114</v>
      </c>
      <c r="BE29" s="13">
        <v>35</v>
      </c>
      <c r="BF29" s="60">
        <f t="shared" si="59"/>
        <v>8.6589882698609557</v>
      </c>
    </row>
    <row r="30" spans="1:58" ht="15.75" thickBot="1">
      <c r="A30" s="242"/>
      <c r="B30" s="242"/>
      <c r="C30" s="3"/>
      <c r="D30" s="3"/>
      <c r="E30" s="3"/>
      <c r="F30" s="3"/>
      <c r="G30" s="3"/>
      <c r="H30" s="3"/>
      <c r="I30" s="3"/>
      <c r="J30" s="145" t="s">
        <v>29</v>
      </c>
      <c r="K30" s="148">
        <f>(G28*G29+H28*H29+I28*I29)/3</f>
        <v>7.8615928806935145</v>
      </c>
      <c r="L30" s="146" t="s">
        <v>40</v>
      </c>
      <c r="M30" s="149">
        <f>EXP(M29)</f>
        <v>1.0351150399115792</v>
      </c>
      <c r="N30" s="3"/>
      <c r="O30" s="3"/>
      <c r="P30" s="3"/>
      <c r="AB30" s="242"/>
      <c r="AC30" s="242"/>
      <c r="AD30" s="3"/>
      <c r="AE30" s="3"/>
      <c r="AF30" s="3"/>
      <c r="AG30" s="3"/>
      <c r="AH30" s="3"/>
      <c r="AI30" s="145" t="s">
        <v>29</v>
      </c>
      <c r="AJ30" s="148">
        <f>(AG28*AG29+AH28*AH29)/2</f>
        <v>6.7708180251788139</v>
      </c>
      <c r="AK30" s="146" t="s">
        <v>40</v>
      </c>
      <c r="AL30" s="149">
        <f>EXP(AL29)</f>
        <v>1.0653656920351959</v>
      </c>
      <c r="AN30" s="13">
        <v>28</v>
      </c>
      <c r="AO30" s="60">
        <f t="shared" si="60"/>
        <v>6.9132035326836423</v>
      </c>
      <c r="AP30" s="13">
        <f t="shared" si="61"/>
        <v>28</v>
      </c>
      <c r="AQ30" s="60">
        <f t="shared" si="62"/>
        <v>7.3820244803810304</v>
      </c>
      <c r="AR30" s="13">
        <f t="shared" si="63"/>
        <v>28</v>
      </c>
      <c r="AS30" s="60">
        <f t="shared" si="64"/>
        <v>7.4958465096996276</v>
      </c>
      <c r="BA30" s="13">
        <v>36.5</v>
      </c>
      <c r="BB30" s="60">
        <f t="shared" si="57"/>
        <v>8.07282247366037</v>
      </c>
      <c r="BC30" s="13">
        <v>36.5</v>
      </c>
      <c r="BD30" s="8">
        <f t="shared" si="58"/>
        <v>8.6228145413997144</v>
      </c>
      <c r="BE30" s="13">
        <v>36.5</v>
      </c>
      <c r="BF30" s="60">
        <f t="shared" si="59"/>
        <v>8.8638333275202612</v>
      </c>
    </row>
    <row r="31" spans="1:58" ht="15.75" thickBot="1">
      <c r="A31" s="242"/>
      <c r="B31" s="243"/>
      <c r="C31" s="3"/>
      <c r="D31" s="3"/>
      <c r="E31" s="3"/>
      <c r="F31" s="3"/>
      <c r="G31" s="3"/>
      <c r="H31" s="3"/>
      <c r="I31" s="3"/>
      <c r="J31" s="146" t="s">
        <v>31</v>
      </c>
      <c r="K31" s="149">
        <f>(G28^2+H28^2+I28^2)/3</f>
        <v>13.11530029199819</v>
      </c>
      <c r="L31" s="3"/>
      <c r="M31" s="3"/>
      <c r="N31" s="3"/>
      <c r="O31" s="3"/>
      <c r="P31" s="3"/>
      <c r="AB31" s="242"/>
      <c r="AC31" s="243"/>
      <c r="AD31" s="3"/>
      <c r="AE31" s="3"/>
      <c r="AF31" s="3"/>
      <c r="AG31" s="3"/>
      <c r="AH31" s="3"/>
      <c r="AI31" s="146" t="s">
        <v>31</v>
      </c>
      <c r="AJ31" s="149">
        <f>(AG28^2+AH28^2)/2</f>
        <v>11.291121740898447</v>
      </c>
      <c r="AK31" s="3"/>
      <c r="AL31" s="3"/>
      <c r="AN31" s="13">
        <v>30</v>
      </c>
      <c r="AO31" s="60">
        <f t="shared" si="60"/>
        <v>7.2017781653222981</v>
      </c>
      <c r="AP31" s="13">
        <f t="shared" si="61"/>
        <v>30</v>
      </c>
      <c r="AQ31" s="60">
        <f t="shared" si="62"/>
        <v>7.6838979258503652</v>
      </c>
      <c r="AR31" s="13">
        <f t="shared" si="63"/>
        <v>30</v>
      </c>
      <c r="AS31" s="60">
        <f t="shared" si="64"/>
        <v>7.8161469428206258</v>
      </c>
      <c r="BA31" s="13">
        <v>38</v>
      </c>
      <c r="BB31" s="60">
        <f t="shared" si="57"/>
        <v>8.249733650544929</v>
      </c>
      <c r="BC31" s="13">
        <v>38</v>
      </c>
      <c r="BD31" s="8">
        <f t="shared" si="58"/>
        <v>8.8143647046326183</v>
      </c>
      <c r="BE31" s="13">
        <v>38</v>
      </c>
      <c r="BF31" s="60">
        <f t="shared" si="59"/>
        <v>9.0649830187254157</v>
      </c>
    </row>
    <row r="32" spans="1:58">
      <c r="A32" s="242"/>
      <c r="B32" s="241">
        <v>50</v>
      </c>
      <c r="C32" s="151">
        <v>20</v>
      </c>
      <c r="D32" s="151">
        <v>40</v>
      </c>
      <c r="E32" s="147">
        <v>60</v>
      </c>
      <c r="F32" s="144" t="s">
        <v>93</v>
      </c>
      <c r="G32" s="151">
        <f>LN(C32)</f>
        <v>2.9957322735539909</v>
      </c>
      <c r="H32" s="151">
        <f t="shared" ref="H32:H33" si="68">LN(D32)</f>
        <v>3.6888794541139363</v>
      </c>
      <c r="I32" s="151">
        <f t="shared" ref="I32:I33" si="69">LN(E32)</f>
        <v>4.0943445622221004</v>
      </c>
      <c r="J32" s="144" t="s">
        <v>28</v>
      </c>
      <c r="K32" s="147">
        <f>(G32+H32+I32)/3</f>
        <v>3.5929854299633424</v>
      </c>
      <c r="L32" s="144" t="s">
        <v>39</v>
      </c>
      <c r="M32" s="147">
        <f>(K34-K32*K33)/(K35-K32^2)</f>
        <v>0.62285467046765297</v>
      </c>
      <c r="N32" s="3"/>
      <c r="O32" s="3"/>
      <c r="P32" s="3"/>
      <c r="AB32" s="242"/>
      <c r="AC32" s="241">
        <v>50</v>
      </c>
      <c r="AD32" s="151">
        <v>20</v>
      </c>
      <c r="AE32" s="151">
        <v>40</v>
      </c>
      <c r="AF32" s="144" t="s">
        <v>93</v>
      </c>
      <c r="AG32" s="151">
        <f>LN(AD32)</f>
        <v>2.9957322735539909</v>
      </c>
      <c r="AH32" s="151">
        <f t="shared" ref="AH32:AH33" si="70">LN(AE32)</f>
        <v>3.6888794541139363</v>
      </c>
      <c r="AI32" s="144" t="s">
        <v>28</v>
      </c>
      <c r="AJ32" s="147">
        <f>(AG32+AH32)/2</f>
        <v>3.3423058638339636</v>
      </c>
      <c r="AK32" s="144" t="s">
        <v>39</v>
      </c>
      <c r="AL32" s="147">
        <f>(AJ34-AJ32*AJ33)/(AJ35-AJ32^2)</f>
        <v>0.60647782137595752</v>
      </c>
      <c r="AN32" s="13">
        <v>32</v>
      </c>
      <c r="AO32" s="60">
        <f t="shared" si="60"/>
        <v>7.4826163957928538</v>
      </c>
      <c r="AP32" s="13">
        <f t="shared" si="61"/>
        <v>32</v>
      </c>
      <c r="AQ32" s="60">
        <f t="shared" si="62"/>
        <v>7.9774467085472853</v>
      </c>
      <c r="AR32" s="13">
        <f t="shared" si="63"/>
        <v>32</v>
      </c>
      <c r="AS32" s="60">
        <f t="shared" si="64"/>
        <v>8.1281463514886596</v>
      </c>
      <c r="BA32" s="13">
        <v>39.5</v>
      </c>
      <c r="BB32" s="60">
        <f t="shared" si="57"/>
        <v>8.4234485227167273</v>
      </c>
      <c r="BC32" s="13">
        <v>39.5</v>
      </c>
      <c r="BD32" s="8">
        <f t="shared" si="58"/>
        <v>9.0025082036023516</v>
      </c>
      <c r="BE32" s="13">
        <v>39.5</v>
      </c>
      <c r="BF32" s="60">
        <f t="shared" si="59"/>
        <v>9.2626460887036526</v>
      </c>
    </row>
    <row r="33" spans="1:58" ht="15.75" thickBot="1">
      <c r="A33" s="242"/>
      <c r="B33" s="242"/>
      <c r="C33" s="152">
        <v>6.1121960000000009</v>
      </c>
      <c r="D33" s="152">
        <v>9.3060480000000005</v>
      </c>
      <c r="E33" s="149">
        <v>12.142760000000001</v>
      </c>
      <c r="F33" s="146" t="s">
        <v>94</v>
      </c>
      <c r="G33" s="152">
        <f>LN(C33)</f>
        <v>1.8102861194128774</v>
      </c>
      <c r="H33" s="152">
        <f t="shared" si="68"/>
        <v>2.2306645113717591</v>
      </c>
      <c r="I33" s="152">
        <f t="shared" si="69"/>
        <v>2.4967331074030032</v>
      </c>
      <c r="J33" s="145" t="s">
        <v>30</v>
      </c>
      <c r="K33" s="148">
        <f>(G33+H33+I33)/3</f>
        <v>2.1792279127292136</v>
      </c>
      <c r="L33" s="145" t="s">
        <v>95</v>
      </c>
      <c r="M33" s="148">
        <f>K33-K32*M32</f>
        <v>-5.8679843245682317E-2</v>
      </c>
      <c r="N33" s="3"/>
      <c r="O33" s="3"/>
      <c r="P33" s="3"/>
      <c r="AB33" s="242"/>
      <c r="AC33" s="242"/>
      <c r="AD33" s="152">
        <v>6.1121960000000009</v>
      </c>
      <c r="AE33" s="152">
        <v>9.3060480000000005</v>
      </c>
      <c r="AF33" s="146" t="s">
        <v>94</v>
      </c>
      <c r="AG33" s="152">
        <f>LN(AD33)</f>
        <v>1.8102861194128774</v>
      </c>
      <c r="AH33" s="152">
        <f t="shared" si="70"/>
        <v>2.2306645113717591</v>
      </c>
      <c r="AI33" s="145" t="s">
        <v>30</v>
      </c>
      <c r="AJ33" s="148">
        <f>(AG33+AH33)/2</f>
        <v>2.0204753153923183</v>
      </c>
      <c r="AK33" s="145" t="s">
        <v>95</v>
      </c>
      <c r="AL33" s="148">
        <f>AJ33-AJ32*AL32</f>
        <v>-6.5590632777916547E-3</v>
      </c>
      <c r="AN33" s="13">
        <v>34</v>
      </c>
      <c r="AO33" s="60">
        <f t="shared" si="60"/>
        <v>7.7563909766325123</v>
      </c>
      <c r="AP33" s="13">
        <f t="shared" si="61"/>
        <v>34</v>
      </c>
      <c r="AQ33" s="60">
        <f t="shared" si="62"/>
        <v>8.2634005492811955</v>
      </c>
      <c r="AR33" s="13">
        <f t="shared" si="63"/>
        <v>34</v>
      </c>
      <c r="AS33" s="60">
        <f t="shared" si="64"/>
        <v>8.4325598467098963</v>
      </c>
      <c r="BA33" s="13">
        <v>41</v>
      </c>
      <c r="BB33" s="60">
        <f t="shared" si="57"/>
        <v>8.5941430534563477</v>
      </c>
      <c r="BC33" s="13">
        <v>41</v>
      </c>
      <c r="BD33" s="8">
        <f t="shared" si="58"/>
        <v>9.1874316732186667</v>
      </c>
      <c r="BE33" s="13">
        <v>41</v>
      </c>
      <c r="BF33" s="60">
        <f t="shared" si="59"/>
        <v>9.4570120670085274</v>
      </c>
    </row>
    <row r="34" spans="1:58" ht="15.75" thickBot="1">
      <c r="A34" s="242"/>
      <c r="B34" s="242"/>
      <c r="C34" s="3"/>
      <c r="D34" s="3"/>
      <c r="E34" s="3"/>
      <c r="F34" s="3"/>
      <c r="G34" s="3"/>
      <c r="H34" s="3"/>
      <c r="I34" s="3"/>
      <c r="J34" s="145" t="s">
        <v>29</v>
      </c>
      <c r="K34" s="148">
        <f>(G32*G33+H32*H33+I32*I33)/3</f>
        <v>7.9580902196425756</v>
      </c>
      <c r="L34" s="146" t="s">
        <v>40</v>
      </c>
      <c r="M34" s="149">
        <f>EXP(M33)</f>
        <v>0.94300863141562841</v>
      </c>
      <c r="N34" s="3"/>
      <c r="O34" s="3"/>
      <c r="P34" s="3"/>
      <c r="AB34" s="242"/>
      <c r="AC34" s="242"/>
      <c r="AD34" s="3"/>
      <c r="AE34" s="3"/>
      <c r="AF34" s="3"/>
      <c r="AG34" s="3"/>
      <c r="AH34" s="3"/>
      <c r="AI34" s="145" t="s">
        <v>29</v>
      </c>
      <c r="AJ34" s="148">
        <f>(AG32*AG33+AH32*AH33)/2</f>
        <v>6.8258925186561781</v>
      </c>
      <c r="AK34" s="146" t="s">
        <v>40</v>
      </c>
      <c r="AL34" s="149">
        <f>EXP(AL33)</f>
        <v>0.99346240042484946</v>
      </c>
      <c r="AN34" s="13">
        <v>36</v>
      </c>
      <c r="AO34" s="60">
        <f t="shared" si="60"/>
        <v>8.0236803682561657</v>
      </c>
      <c r="AP34" s="13">
        <f t="shared" si="61"/>
        <v>36</v>
      </c>
      <c r="AQ34" s="60">
        <f t="shared" si="62"/>
        <v>8.5423864258093722</v>
      </c>
      <c r="AR34" s="13">
        <f t="shared" si="63"/>
        <v>36</v>
      </c>
      <c r="AS34" s="60">
        <f t="shared" si="64"/>
        <v>8.7300028418340894</v>
      </c>
      <c r="BA34" s="13">
        <v>42.5</v>
      </c>
      <c r="BB34" s="60">
        <f t="shared" si="57"/>
        <v>8.7619774812439548</v>
      </c>
      <c r="BC34" s="13">
        <v>42.5</v>
      </c>
      <c r="BD34" s="8">
        <f t="shared" si="58"/>
        <v>9.3693051170703257</v>
      </c>
      <c r="BE34" s="13">
        <v>42.5</v>
      </c>
      <c r="BF34" s="60">
        <f t="shared" si="59"/>
        <v>9.6482536703708259</v>
      </c>
    </row>
    <row r="35" spans="1:58" ht="15.75" thickBot="1">
      <c r="A35" s="242"/>
      <c r="B35" s="242"/>
      <c r="C35" s="3"/>
      <c r="D35" s="3"/>
      <c r="E35" s="3"/>
      <c r="F35" s="3"/>
      <c r="G35" s="3"/>
      <c r="H35" s="3"/>
      <c r="I35" s="3"/>
      <c r="J35" s="145" t="s">
        <v>31</v>
      </c>
      <c r="K35" s="148">
        <f>(G32^2+H32^2+I32^2)/3</f>
        <v>13.11530029199819</v>
      </c>
      <c r="L35" s="3"/>
      <c r="M35" s="3"/>
      <c r="N35" s="3"/>
      <c r="O35" s="3"/>
      <c r="P35" s="3"/>
      <c r="AB35" s="243"/>
      <c r="AC35" s="243"/>
      <c r="AD35" s="3"/>
      <c r="AE35" s="3"/>
      <c r="AF35" s="3"/>
      <c r="AG35" s="3"/>
      <c r="AH35" s="3"/>
      <c r="AI35" s="146" t="s">
        <v>31</v>
      </c>
      <c r="AJ35" s="149">
        <f>(AG32^2+AH32^2)/2</f>
        <v>11.291121740898447</v>
      </c>
      <c r="AK35" s="3"/>
      <c r="AL35" s="3"/>
      <c r="AN35" s="13">
        <v>38</v>
      </c>
      <c r="AO35" s="60">
        <f t="shared" si="60"/>
        <v>8.2849864227167735</v>
      </c>
      <c r="AP35" s="13">
        <f t="shared" si="61"/>
        <v>38</v>
      </c>
      <c r="AQ35" s="60">
        <f t="shared" si="62"/>
        <v>8.8149479019017054</v>
      </c>
      <c r="AR35" s="13">
        <f t="shared" si="63"/>
        <v>38</v>
      </c>
      <c r="AS35" s="60">
        <f t="shared" si="64"/>
        <v>9.0210096819368868</v>
      </c>
      <c r="BA35" s="13">
        <v>44</v>
      </c>
      <c r="BB35" s="60">
        <f t="shared" si="57"/>
        <v>8.9270982268997052</v>
      </c>
      <c r="BC35" s="13">
        <v>44</v>
      </c>
      <c r="BD35" s="8">
        <f t="shared" si="58"/>
        <v>9.5482839205263961</v>
      </c>
      <c r="BE35" s="13">
        <v>44</v>
      </c>
      <c r="BF35" s="60">
        <f t="shared" si="59"/>
        <v>9.8365288313379491</v>
      </c>
    </row>
    <row r="36" spans="1:58" ht="15.75" thickBot="1">
      <c r="A36" s="250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2"/>
      <c r="N36" s="3"/>
      <c r="O36" s="3"/>
      <c r="P36" s="3"/>
      <c r="AB36" s="241" t="s">
        <v>117</v>
      </c>
      <c r="AC36" s="241">
        <v>-40</v>
      </c>
      <c r="AD36" s="151">
        <v>40</v>
      </c>
      <c r="AE36" s="151">
        <v>60</v>
      </c>
      <c r="AF36" s="144" t="s">
        <v>93</v>
      </c>
      <c r="AG36" s="151">
        <f>LN(AD36)</f>
        <v>3.6888794541139363</v>
      </c>
      <c r="AH36" s="151">
        <f t="shared" ref="AH36:AH37" si="71">LN(AE36)</f>
        <v>4.0943445622221004</v>
      </c>
      <c r="AI36" s="144" t="s">
        <v>28</v>
      </c>
      <c r="AJ36" s="147">
        <f>(AG36+AH36)/2</f>
        <v>3.8916120081680186</v>
      </c>
      <c r="AK36" s="144" t="s">
        <v>39</v>
      </c>
      <c r="AL36" s="147">
        <f>(AJ38-AJ36*AJ37)/(AJ39-AJ36^2)</f>
        <v>0.61030472460592589</v>
      </c>
      <c r="AN36" s="13">
        <v>40</v>
      </c>
      <c r="AO36" s="60">
        <f>$AL$38*AN36^$AL$36</f>
        <v>8.5407480000000326</v>
      </c>
      <c r="AP36" s="13">
        <f t="shared" si="61"/>
        <v>40</v>
      </c>
      <c r="AQ36" s="60">
        <f>$AL$42*AP36^$AL$40</f>
        <v>9.0815599999999659</v>
      </c>
      <c r="AR36" s="13">
        <f t="shared" si="63"/>
        <v>40</v>
      </c>
      <c r="AS36" s="60">
        <f>$AL$46*AR36^$AL$44</f>
        <v>9.3060479999999863</v>
      </c>
      <c r="BA36" s="13">
        <v>45.5</v>
      </c>
      <c r="BB36" s="60">
        <f t="shared" si="57"/>
        <v>9.0896395126538181</v>
      </c>
      <c r="BC36" s="13">
        <v>45.5</v>
      </c>
      <c r="BD36" s="8">
        <f t="shared" si="58"/>
        <v>9.7245105602201996</v>
      </c>
      <c r="BE36" s="13">
        <v>45.5</v>
      </c>
      <c r="BF36" s="60">
        <f t="shared" si="59"/>
        <v>10.021982421689842</v>
      </c>
    </row>
    <row r="37" spans="1:58" ht="15.75" thickBot="1">
      <c r="A37" s="241" t="s">
        <v>88</v>
      </c>
      <c r="B37" s="245">
        <v>-40</v>
      </c>
      <c r="C37" s="144">
        <v>60</v>
      </c>
      <c r="D37" s="151">
        <v>80</v>
      </c>
      <c r="E37" s="147">
        <v>100</v>
      </c>
      <c r="F37" s="151" t="s">
        <v>93</v>
      </c>
      <c r="G37" s="151">
        <f t="shared" ref="G37:I38" si="72">LN(C37)</f>
        <v>4.0943445622221004</v>
      </c>
      <c r="H37" s="151">
        <f t="shared" si="72"/>
        <v>4.3820266346738812</v>
      </c>
      <c r="I37" s="151">
        <f t="shared" si="72"/>
        <v>4.6051701859880918</v>
      </c>
      <c r="J37" s="144" t="s">
        <v>28</v>
      </c>
      <c r="K37" s="147">
        <f>(G37+H37+I37)/3</f>
        <v>4.3605137942946914</v>
      </c>
      <c r="L37" s="144" t="s">
        <v>39</v>
      </c>
      <c r="M37" s="147">
        <f>(K39-K37*K38)/(K40-K37^2)</f>
        <v>0.49575179780270734</v>
      </c>
      <c r="N37" s="3"/>
      <c r="O37" s="3"/>
      <c r="P37" s="3"/>
      <c r="AB37" s="242"/>
      <c r="AC37" s="242"/>
      <c r="AD37" s="152">
        <v>8.5407480000000007</v>
      </c>
      <c r="AE37" s="152">
        <v>10.938688000000001</v>
      </c>
      <c r="AF37" s="146" t="s">
        <v>94</v>
      </c>
      <c r="AG37" s="152">
        <f>LN(AD37)</f>
        <v>2.1448485917869031</v>
      </c>
      <c r="AH37" s="152">
        <f t="shared" si="71"/>
        <v>2.3923058629281755</v>
      </c>
      <c r="AI37" s="145" t="s">
        <v>30</v>
      </c>
      <c r="AJ37" s="148">
        <f>(AG37+AH37)/2</f>
        <v>2.2685772273575395</v>
      </c>
      <c r="AK37" s="145" t="s">
        <v>95</v>
      </c>
      <c r="AL37" s="148">
        <f>AJ37-AJ36*AL36</f>
        <v>-0.10649196756055712</v>
      </c>
      <c r="AN37" s="13">
        <v>42</v>
      </c>
      <c r="AO37" s="60">
        <f t="shared" ref="AO37:AO45" si="73">$AL$38*AN37^$AL$36</f>
        <v>8.7988889646271602</v>
      </c>
      <c r="AP37" s="13">
        <f t="shared" si="61"/>
        <v>42</v>
      </c>
      <c r="AQ37" s="60">
        <f t="shared" ref="AQ37:AQ45" si="74">$AL$42*AP37^$AL$40</f>
        <v>9.3551768438757659</v>
      </c>
      <c r="AR37" s="13">
        <f t="shared" si="63"/>
        <v>42</v>
      </c>
      <c r="AS37" s="60">
        <f t="shared" ref="AS37:AS45" si="75">$AL$46*AR37^$AL$44</f>
        <v>9.6088149867138508</v>
      </c>
      <c r="BA37" s="13">
        <v>47</v>
      </c>
      <c r="BB37" s="60">
        <f t="shared" si="57"/>
        <v>9.2497247446740154</v>
      </c>
      <c r="BC37" s="13">
        <v>47</v>
      </c>
      <c r="BD37" s="8">
        <f t="shared" si="58"/>
        <v>9.8981160641588453</v>
      </c>
      <c r="BE37" s="13">
        <v>47</v>
      </c>
      <c r="BF37" s="60">
        <f t="shared" si="59"/>
        <v>10.204747725055714</v>
      </c>
    </row>
    <row r="38" spans="1:58" ht="15.75" thickBot="1">
      <c r="A38" s="242"/>
      <c r="B38" s="246"/>
      <c r="C38" s="146">
        <v>10.938688000000001</v>
      </c>
      <c r="D38" s="152">
        <v>12.714184000000001</v>
      </c>
      <c r="E38" s="149">
        <v>14.081520000000001</v>
      </c>
      <c r="F38" s="152" t="s">
        <v>94</v>
      </c>
      <c r="G38" s="152">
        <f t="shared" si="72"/>
        <v>2.3923058629281755</v>
      </c>
      <c r="H38" s="152">
        <f t="shared" si="72"/>
        <v>2.5427182206448267</v>
      </c>
      <c r="I38" s="152">
        <f t="shared" si="72"/>
        <v>2.6448632994486783</v>
      </c>
      <c r="J38" s="145" t="s">
        <v>30</v>
      </c>
      <c r="K38" s="148">
        <f>(G38+H38+I38)/3</f>
        <v>2.5266291276738935</v>
      </c>
      <c r="L38" s="145" t="s">
        <v>95</v>
      </c>
      <c r="M38" s="148">
        <f>K38-K37*M37</f>
        <v>0.36489657480879556</v>
      </c>
      <c r="N38" s="3"/>
      <c r="O38" s="3"/>
      <c r="P38" s="3"/>
      <c r="AB38" s="242"/>
      <c r="AC38" s="242"/>
      <c r="AD38" s="3"/>
      <c r="AE38" s="3"/>
      <c r="AF38" s="3"/>
      <c r="AG38" s="3"/>
      <c r="AH38" s="3"/>
      <c r="AI38" s="145" t="s">
        <v>29</v>
      </c>
      <c r="AJ38" s="148">
        <f>(AG36*AG37+AH36*AH37)/2</f>
        <v>8.8535062017399699</v>
      </c>
      <c r="AK38" s="146" t="s">
        <v>40</v>
      </c>
      <c r="AL38" s="149">
        <f>EXP(AL37)</f>
        <v>0.8989822691528675</v>
      </c>
      <c r="AN38" s="13">
        <v>44</v>
      </c>
      <c r="AO38" s="60">
        <f t="shared" si="73"/>
        <v>9.0522816759483309</v>
      </c>
      <c r="AP38" s="13">
        <f t="shared" si="61"/>
        <v>44</v>
      </c>
      <c r="AQ38" s="60">
        <f t="shared" si="74"/>
        <v>9.6237363831651237</v>
      </c>
      <c r="AR38" s="13">
        <f t="shared" si="63"/>
        <v>44</v>
      </c>
      <c r="AS38" s="60">
        <f t="shared" si="75"/>
        <v>9.9066635210220522</v>
      </c>
      <c r="BA38" s="13">
        <v>48.5</v>
      </c>
      <c r="BB38" s="60">
        <f t="shared" si="57"/>
        <v>9.4074677000182483</v>
      </c>
      <c r="BC38" s="13">
        <v>48.5</v>
      </c>
      <c r="BD38" s="8">
        <f t="shared" si="58"/>
        <v>10.06922126559606</v>
      </c>
      <c r="BE38" s="13">
        <v>48.5</v>
      </c>
      <c r="BF38" s="60">
        <f t="shared" si="59"/>
        <v>10.384947702031576</v>
      </c>
    </row>
    <row r="39" spans="1:58" ht="15.75" thickBot="1">
      <c r="A39" s="242"/>
      <c r="B39" s="242"/>
      <c r="C39" s="3"/>
      <c r="D39" s="3"/>
      <c r="E39" s="3"/>
      <c r="F39" s="3"/>
      <c r="G39" s="3"/>
      <c r="H39" s="3"/>
      <c r="I39" s="3"/>
      <c r="J39" s="145" t="s">
        <v>29</v>
      </c>
      <c r="K39" s="148">
        <f>(G37*G38+H37*H38+I37*I38)/3</f>
        <v>11.039076360341127</v>
      </c>
      <c r="L39" s="146" t="s">
        <v>40</v>
      </c>
      <c r="M39" s="149">
        <f>EXP(M38)</f>
        <v>1.4403650304166495</v>
      </c>
      <c r="N39" s="3"/>
      <c r="O39" s="3"/>
      <c r="P39" s="3"/>
      <c r="AB39" s="242"/>
      <c r="AC39" s="243"/>
      <c r="AD39" s="3"/>
      <c r="AE39" s="3"/>
      <c r="AF39" s="3"/>
      <c r="AG39" s="3"/>
      <c r="AH39" s="3"/>
      <c r="AI39" s="146" t="s">
        <v>31</v>
      </c>
      <c r="AJ39" s="149">
        <f>(AG36^2+AH36^2)/2</f>
        <v>15.185744510590808</v>
      </c>
      <c r="AK39" s="3"/>
      <c r="AL39" s="3"/>
      <c r="AN39" s="13">
        <v>46</v>
      </c>
      <c r="AO39" s="60">
        <f t="shared" si="73"/>
        <v>9.3012236385204901</v>
      </c>
      <c r="AP39" s="13">
        <f t="shared" si="61"/>
        <v>46</v>
      </c>
      <c r="AQ39" s="60">
        <f t="shared" si="74"/>
        <v>9.8875559070635752</v>
      </c>
      <c r="AR39" s="13">
        <f t="shared" si="63"/>
        <v>46</v>
      </c>
      <c r="AS39" s="60">
        <f t="shared" si="75"/>
        <v>10.19989190312165</v>
      </c>
      <c r="BA39" s="13">
        <v>50</v>
      </c>
      <c r="BB39" s="60">
        <f t="shared" si="57"/>
        <v>9.5629735508429405</v>
      </c>
      <c r="BC39" s="13">
        <v>50</v>
      </c>
      <c r="BD39" s="8">
        <f t="shared" si="58"/>
        <v>10.237937885246186</v>
      </c>
      <c r="BE39" s="13">
        <v>50</v>
      </c>
      <c r="BF39" s="60">
        <f t="shared" si="59"/>
        <v>10.562696082520123</v>
      </c>
    </row>
    <row r="40" spans="1:58" ht="15.75" thickBot="1">
      <c r="A40" s="242"/>
      <c r="B40" s="243"/>
      <c r="C40" s="3"/>
      <c r="D40" s="3"/>
      <c r="E40" s="3"/>
      <c r="F40" s="3"/>
      <c r="G40" s="3"/>
      <c r="H40" s="3"/>
      <c r="I40" s="3"/>
      <c r="J40" s="146" t="s">
        <v>31</v>
      </c>
      <c r="K40" s="149">
        <f>(G37^2+H37^2+I37^2)/3</f>
        <v>19.057802421034193</v>
      </c>
      <c r="L40" s="3"/>
      <c r="M40" s="3"/>
      <c r="N40" s="3"/>
      <c r="O40" s="3"/>
      <c r="P40" s="3"/>
      <c r="AB40" s="242"/>
      <c r="AC40" s="241">
        <v>20</v>
      </c>
      <c r="AD40" s="151">
        <v>40</v>
      </c>
      <c r="AE40" s="151">
        <v>60</v>
      </c>
      <c r="AF40" s="144" t="s">
        <v>93</v>
      </c>
      <c r="AG40" s="151">
        <f>LN(AD40)</f>
        <v>3.6888794541139363</v>
      </c>
      <c r="AH40" s="151">
        <f t="shared" ref="AH40:AH41" si="76">LN(AE40)</f>
        <v>4.0943445622221004</v>
      </c>
      <c r="AI40" s="144" t="s">
        <v>28</v>
      </c>
      <c r="AJ40" s="147">
        <f>(AG40+AH40)/2</f>
        <v>3.8916120081680186</v>
      </c>
      <c r="AK40" s="144" t="s">
        <v>39</v>
      </c>
      <c r="AL40" s="147">
        <f>(AJ42-AJ40*AJ41)/(AJ43-AJ40^2)</f>
        <v>0.60839883824281304</v>
      </c>
      <c r="AN40" s="13">
        <v>48</v>
      </c>
      <c r="AO40" s="60">
        <f t="shared" si="73"/>
        <v>9.5459816784949112</v>
      </c>
      <c r="AP40" s="13">
        <f t="shared" si="61"/>
        <v>48</v>
      </c>
      <c r="AQ40" s="60">
        <f t="shared" si="74"/>
        <v>10.146919961456749</v>
      </c>
      <c r="AR40" s="13">
        <f t="shared" si="63"/>
        <v>48</v>
      </c>
      <c r="AS40" s="60">
        <f t="shared" si="75"/>
        <v>10.488768233302078</v>
      </c>
      <c r="BA40" s="13">
        <v>51.5</v>
      </c>
      <c r="BB40" s="60">
        <f t="shared" si="57"/>
        <v>9.7163397523706916</v>
      </c>
      <c r="BC40" s="13">
        <v>51.5</v>
      </c>
      <c r="BD40" s="8">
        <f t="shared" si="58"/>
        <v>10.404369469760907</v>
      </c>
      <c r="BE40" s="13">
        <v>51.5</v>
      </c>
      <c r="BF40" s="60">
        <f t="shared" si="59"/>
        <v>10.738098313341711</v>
      </c>
    </row>
    <row r="41" spans="1:58" ht="15.75" thickBot="1">
      <c r="A41" s="242"/>
      <c r="B41" s="241">
        <v>20</v>
      </c>
      <c r="C41" s="151">
        <v>60</v>
      </c>
      <c r="D41" s="151">
        <v>80</v>
      </c>
      <c r="E41" s="147">
        <v>100</v>
      </c>
      <c r="F41" s="144" t="s">
        <v>93</v>
      </c>
      <c r="G41" s="151">
        <f t="shared" ref="G41:I42" si="77">LN(C41)</f>
        <v>4.0943445622221004</v>
      </c>
      <c r="H41" s="151">
        <f t="shared" si="77"/>
        <v>4.3820266346738812</v>
      </c>
      <c r="I41" s="151">
        <f t="shared" si="77"/>
        <v>4.6051701859880918</v>
      </c>
      <c r="J41" s="144" t="s">
        <v>28</v>
      </c>
      <c r="K41" s="147">
        <f>(G41+H41+I41)/3</f>
        <v>4.3605137942946914</v>
      </c>
      <c r="L41" s="144" t="s">
        <v>39</v>
      </c>
      <c r="M41" s="147">
        <f>(K43-K41*K42)/(K44-K41^2)</f>
        <v>0.51453446049520779</v>
      </c>
      <c r="N41" s="3"/>
      <c r="O41" s="3"/>
      <c r="P41" s="3"/>
      <c r="AB41" s="242"/>
      <c r="AC41" s="242"/>
      <c r="AD41" s="152">
        <v>9.0815599999999996</v>
      </c>
      <c r="AE41" s="152">
        <v>11.622356</v>
      </c>
      <c r="AF41" s="146" t="s">
        <v>94</v>
      </c>
      <c r="AG41" s="152">
        <f>LN(AD41)</f>
        <v>2.2062459840236133</v>
      </c>
      <c r="AH41" s="152">
        <f t="shared" si="76"/>
        <v>2.4529304847446101</v>
      </c>
      <c r="AI41" s="145" t="s">
        <v>30</v>
      </c>
      <c r="AJ41" s="148">
        <f>(AG41+AH41)/2</f>
        <v>2.3295882343841114</v>
      </c>
      <c r="AK41" s="145" t="s">
        <v>95</v>
      </c>
      <c r="AL41" s="148">
        <f>AJ41-AJ40*AL40</f>
        <v>-3.8063990277091619E-2</v>
      </c>
      <c r="AN41" s="13">
        <v>50</v>
      </c>
      <c r="AO41" s="60">
        <f t="shared" si="73"/>
        <v>9.7867962463294873</v>
      </c>
      <c r="AP41" s="13">
        <f t="shared" si="61"/>
        <v>50</v>
      </c>
      <c r="AQ41" s="60">
        <f t="shared" si="74"/>
        <v>10.402084943637099</v>
      </c>
      <c r="AR41" s="13">
        <f t="shared" si="63"/>
        <v>50</v>
      </c>
      <c r="AS41" s="60">
        <f t="shared" si="75"/>
        <v>10.773534594243294</v>
      </c>
      <c r="BA41" s="13">
        <v>53</v>
      </c>
      <c r="BB41" s="60">
        <f t="shared" si="57"/>
        <v>9.8676568161621603</v>
      </c>
      <c r="BC41" s="13">
        <v>53</v>
      </c>
      <c r="BD41" s="8">
        <f t="shared" si="58"/>
        <v>10.568612209170892</v>
      </c>
      <c r="BE41" s="13">
        <v>53</v>
      </c>
      <c r="BF41" s="60">
        <f t="shared" si="59"/>
        <v>10.911252383930405</v>
      </c>
    </row>
    <row r="42" spans="1:58" ht="15.75" thickBot="1">
      <c r="A42" s="242"/>
      <c r="B42" s="242"/>
      <c r="C42" s="152">
        <v>11.622356</v>
      </c>
      <c r="D42" s="152">
        <v>13.622340000000001</v>
      </c>
      <c r="E42" s="149">
        <v>15.101920000000002</v>
      </c>
      <c r="F42" s="146" t="s">
        <v>94</v>
      </c>
      <c r="G42" s="152">
        <f t="shared" si="77"/>
        <v>2.4529304847446101</v>
      </c>
      <c r="H42" s="152">
        <f t="shared" si="77"/>
        <v>2.6117110921317779</v>
      </c>
      <c r="I42" s="152">
        <f t="shared" si="77"/>
        <v>2.7148218880555888</v>
      </c>
      <c r="J42" s="145" t="s">
        <v>30</v>
      </c>
      <c r="K42" s="148">
        <f>(G42+H42+I42)/3</f>
        <v>2.5931544883106592</v>
      </c>
      <c r="L42" s="145" t="s">
        <v>95</v>
      </c>
      <c r="M42" s="148">
        <f>K42-K41*M41</f>
        <v>0.3495198756813287</v>
      </c>
      <c r="N42" s="3"/>
      <c r="O42" s="3"/>
      <c r="P42" s="3"/>
      <c r="AB42" s="242"/>
      <c r="AC42" s="242"/>
      <c r="AD42" s="3"/>
      <c r="AE42" s="3"/>
      <c r="AF42" s="3"/>
      <c r="AG42" s="3"/>
      <c r="AH42" s="3"/>
      <c r="AI42" s="145" t="s">
        <v>29</v>
      </c>
      <c r="AJ42" s="148">
        <f>(AG40*AG41+AH40*AH41)/2</f>
        <v>9.0908590364545034</v>
      </c>
      <c r="AK42" s="146" t="s">
        <v>40</v>
      </c>
      <c r="AL42" s="149">
        <f>EXP(AL41)</f>
        <v>0.96265133859434726</v>
      </c>
      <c r="AN42" s="13">
        <v>52</v>
      </c>
      <c r="AO42" s="60">
        <f t="shared" si="73"/>
        <v>10.02388496889888</v>
      </c>
      <c r="AP42" s="13">
        <f t="shared" si="61"/>
        <v>52</v>
      </c>
      <c r="AQ42" s="60">
        <f t="shared" si="74"/>
        <v>10.653282895161874</v>
      </c>
      <c r="AR42" s="13">
        <f t="shared" si="63"/>
        <v>52</v>
      </c>
      <c r="AS42" s="60">
        <f t="shared" si="75"/>
        <v>11.05441051066988</v>
      </c>
      <c r="BA42" s="13">
        <v>54.5</v>
      </c>
      <c r="BB42" s="60">
        <f t="shared" si="57"/>
        <v>10.017008986318816</v>
      </c>
      <c r="BC42" s="13">
        <v>54.5</v>
      </c>
      <c r="BD42" s="8">
        <f t="shared" si="58"/>
        <v>10.730755651870664</v>
      </c>
      <c r="BE42" s="13">
        <v>54.5</v>
      </c>
      <c r="BF42" s="60">
        <f t="shared" si="59"/>
        <v>11.082249548791665</v>
      </c>
    </row>
    <row r="43" spans="1:58" ht="15.75" thickBot="1">
      <c r="A43" s="242"/>
      <c r="B43" s="242"/>
      <c r="C43" s="3"/>
      <c r="D43" s="3"/>
      <c r="E43" s="3"/>
      <c r="F43" s="3"/>
      <c r="G43" s="3"/>
      <c r="H43" s="3"/>
      <c r="I43" s="3"/>
      <c r="J43" s="145" t="s">
        <v>29</v>
      </c>
      <c r="K43" s="148">
        <f>(G41*G42+H41*H42+I41*I42)/3</f>
        <v>11.329982326219692</v>
      </c>
      <c r="L43" s="146" t="s">
        <v>40</v>
      </c>
      <c r="M43" s="149">
        <f>EXP(M42)</f>
        <v>1.4183863832884394</v>
      </c>
      <c r="N43" s="3"/>
      <c r="O43" s="3"/>
      <c r="P43" s="3"/>
      <c r="AB43" s="242"/>
      <c r="AC43" s="243"/>
      <c r="AD43" s="3"/>
      <c r="AE43" s="3"/>
      <c r="AF43" s="3"/>
      <c r="AG43" s="3"/>
      <c r="AH43" s="3"/>
      <c r="AI43" s="146" t="s">
        <v>31</v>
      </c>
      <c r="AJ43" s="149">
        <f>(AG40^2+AH40^2)/2</f>
        <v>15.185744510590808</v>
      </c>
      <c r="AK43" s="3"/>
      <c r="AL43" s="3"/>
      <c r="AN43" s="13">
        <v>54</v>
      </c>
      <c r="AO43" s="60">
        <f t="shared" si="73"/>
        <v>10.257445605658555</v>
      </c>
      <c r="AP43" s="13">
        <f t="shared" si="61"/>
        <v>54</v>
      </c>
      <c r="AQ43" s="60">
        <f t="shared" si="74"/>
        <v>10.900724658121707</v>
      </c>
      <c r="AR43" s="13">
        <f t="shared" si="63"/>
        <v>54</v>
      </c>
      <c r="AS43" s="60">
        <f t="shared" si="75"/>
        <v>11.331595834122606</v>
      </c>
      <c r="BA43" s="13">
        <v>56</v>
      </c>
      <c r="BB43" s="60">
        <f t="shared" si="57"/>
        <v>10.164474833126103</v>
      </c>
      <c r="BC43" s="13">
        <v>56</v>
      </c>
      <c r="BD43" s="8">
        <f t="shared" si="58"/>
        <v>10.890883332442458</v>
      </c>
      <c r="BE43" s="13">
        <v>56</v>
      </c>
      <c r="BF43" s="60">
        <f t="shared" si="59"/>
        <v>11.25117496210372</v>
      </c>
    </row>
    <row r="44" spans="1:58" ht="15.75" thickBot="1">
      <c r="A44" s="242"/>
      <c r="B44" s="243"/>
      <c r="C44" s="3"/>
      <c r="D44" s="3"/>
      <c r="E44" s="3"/>
      <c r="F44" s="3"/>
      <c r="G44" s="3"/>
      <c r="H44" s="3"/>
      <c r="I44" s="3"/>
      <c r="J44" s="146" t="s">
        <v>31</v>
      </c>
      <c r="K44" s="149">
        <f>(G41^2+H41^2+I41^2)/3</f>
        <v>19.057802421034193</v>
      </c>
      <c r="L44" s="3"/>
      <c r="M44" s="3"/>
      <c r="N44" s="3"/>
      <c r="O44" s="3"/>
      <c r="P44" s="3"/>
      <c r="AB44" s="242"/>
      <c r="AC44" s="241">
        <v>50</v>
      </c>
      <c r="AD44" s="151">
        <v>40</v>
      </c>
      <c r="AE44" s="151">
        <v>60</v>
      </c>
      <c r="AF44" s="144" t="s">
        <v>93</v>
      </c>
      <c r="AG44" s="151">
        <f>LN(AD44)</f>
        <v>3.6888794541139363</v>
      </c>
      <c r="AH44" s="151">
        <f t="shared" ref="AH44:AH45" si="78">LN(AE44)</f>
        <v>4.0943445622221004</v>
      </c>
      <c r="AI44" s="144" t="s">
        <v>28</v>
      </c>
      <c r="AJ44" s="147">
        <f>(AG44+AH44)/2</f>
        <v>3.8916120081680186</v>
      </c>
      <c r="AK44" s="144" t="s">
        <v>39</v>
      </c>
      <c r="AL44" s="147">
        <f>(AJ46-AJ44*AJ45)/(AJ47-AJ44^2)</f>
        <v>0.65620589962150044</v>
      </c>
      <c r="AN44" s="13">
        <v>56</v>
      </c>
      <c r="AO44" s="60">
        <f t="shared" si="73"/>
        <v>10.487658527125276</v>
      </c>
      <c r="AP44" s="13">
        <f t="shared" si="61"/>
        <v>56</v>
      </c>
      <c r="AQ44" s="60">
        <f t="shared" si="74"/>
        <v>11.14460252118783</v>
      </c>
      <c r="AR44" s="13">
        <f t="shared" si="63"/>
        <v>56</v>
      </c>
      <c r="AS44" s="60">
        <f t="shared" si="75"/>
        <v>11.605273166057264</v>
      </c>
      <c r="BA44" s="13">
        <v>57.5</v>
      </c>
      <c r="BB44" s="60">
        <f t="shared" si="57"/>
        <v>10.310127776148404</v>
      </c>
      <c r="BC44" s="13">
        <v>57.5</v>
      </c>
      <c r="BD44" s="8">
        <f t="shared" si="58"/>
        <v>11.049073324984414</v>
      </c>
      <c r="BE44" s="13">
        <v>57.5</v>
      </c>
      <c r="BF44" s="60">
        <f t="shared" si="59"/>
        <v>11.418108237203921</v>
      </c>
    </row>
    <row r="45" spans="1:58" ht="15.75" thickBot="1">
      <c r="A45" s="242"/>
      <c r="B45" s="241">
        <v>50</v>
      </c>
      <c r="C45" s="151">
        <v>60</v>
      </c>
      <c r="D45" s="151">
        <v>80</v>
      </c>
      <c r="E45" s="147">
        <v>100</v>
      </c>
      <c r="F45" s="144" t="s">
        <v>93</v>
      </c>
      <c r="G45" s="151">
        <f t="shared" ref="G45:I46" si="79">LN(C45)</f>
        <v>4.0943445622221004</v>
      </c>
      <c r="H45" s="151">
        <f t="shared" si="79"/>
        <v>4.3820266346738812</v>
      </c>
      <c r="I45" s="151">
        <f t="shared" si="79"/>
        <v>4.6051701859880918</v>
      </c>
      <c r="J45" s="144" t="s">
        <v>28</v>
      </c>
      <c r="K45" s="147">
        <f>(G45+H45+I45)/3</f>
        <v>4.3605137942946914</v>
      </c>
      <c r="L45" s="144" t="s">
        <v>39</v>
      </c>
      <c r="M45" s="147">
        <f>(K47-K45*K46)/(K48-K45^2)</f>
        <v>0.55540433827118607</v>
      </c>
      <c r="N45" s="3"/>
      <c r="O45" s="3"/>
      <c r="P45" s="3"/>
      <c r="AB45" s="242"/>
      <c r="AC45" s="242"/>
      <c r="AD45" s="152">
        <v>9.3060480000000005</v>
      </c>
      <c r="AE45" s="152">
        <v>12.142760000000001</v>
      </c>
      <c r="AF45" s="146" t="s">
        <v>94</v>
      </c>
      <c r="AG45" s="152">
        <f>LN(AD45)</f>
        <v>2.2306645113717591</v>
      </c>
      <c r="AH45" s="152">
        <f t="shared" si="78"/>
        <v>2.4967331074030032</v>
      </c>
      <c r="AI45" s="145" t="s">
        <v>30</v>
      </c>
      <c r="AJ45" s="148">
        <f>(AG45+AH45)/2</f>
        <v>2.3636988093873814</v>
      </c>
      <c r="AK45" s="145" t="s">
        <v>95</v>
      </c>
      <c r="AL45" s="148">
        <f>AJ45-AJ44*AL44</f>
        <v>-0.18999994941034704</v>
      </c>
      <c r="AN45" s="13">
        <v>58</v>
      </c>
      <c r="AO45" s="60">
        <f t="shared" si="73"/>
        <v>10.714688807097044</v>
      </c>
      <c r="AP45" s="13">
        <f t="shared" si="61"/>
        <v>58</v>
      </c>
      <c r="AQ45" s="60">
        <f t="shared" si="74"/>
        <v>11.385092453119452</v>
      </c>
      <c r="AR45" s="13">
        <f t="shared" si="63"/>
        <v>58</v>
      </c>
      <c r="AS45" s="60">
        <f t="shared" si="75"/>
        <v>11.875609906950489</v>
      </c>
      <c r="BA45" s="13">
        <v>59</v>
      </c>
      <c r="BB45" s="60">
        <f t="shared" si="57"/>
        <v>10.454036546773539</v>
      </c>
      <c r="BC45" s="13">
        <v>59</v>
      </c>
      <c r="BD45" s="8">
        <f t="shared" si="58"/>
        <v>11.205398732487101</v>
      </c>
      <c r="BE45" s="13">
        <v>59</v>
      </c>
      <c r="BF45" s="60">
        <f t="shared" si="59"/>
        <v>11.583123941570562</v>
      </c>
    </row>
    <row r="46" spans="1:58" ht="15.75" thickBot="1">
      <c r="A46" s="242"/>
      <c r="B46" s="242"/>
      <c r="C46" s="152">
        <v>12.142760000000001</v>
      </c>
      <c r="D46" s="152">
        <v>14.18356</v>
      </c>
      <c r="E46" s="149">
        <v>16.132524000000004</v>
      </c>
      <c r="F46" s="146" t="s">
        <v>94</v>
      </c>
      <c r="G46" s="152">
        <f t="shared" si="79"/>
        <v>2.4967331074030032</v>
      </c>
      <c r="H46" s="152">
        <f t="shared" si="79"/>
        <v>2.6520835474221656</v>
      </c>
      <c r="I46" s="152">
        <f t="shared" si="79"/>
        <v>2.7808373585069002</v>
      </c>
      <c r="J46" s="145" t="s">
        <v>30</v>
      </c>
      <c r="K46" s="148">
        <f>(G46+H46+I46)/3</f>
        <v>2.643218004444023</v>
      </c>
      <c r="L46" s="145" t="s">
        <v>95</v>
      </c>
      <c r="M46" s="148">
        <f>K46-K45*M45</f>
        <v>0.22136972600140092</v>
      </c>
      <c r="N46" s="3"/>
      <c r="O46" s="3"/>
      <c r="P46" s="3"/>
      <c r="AB46" s="242"/>
      <c r="AC46" s="242"/>
      <c r="AD46" s="3"/>
      <c r="AE46" s="3"/>
      <c r="AF46" s="3"/>
      <c r="AG46" s="3"/>
      <c r="AH46" s="3"/>
      <c r="AI46" s="145" t="s">
        <v>29</v>
      </c>
      <c r="AJ46" s="148">
        <f>(AG44*AG45+AH44*AH45)/2</f>
        <v>9.22556905331788</v>
      </c>
      <c r="AK46" s="146" t="s">
        <v>40</v>
      </c>
      <c r="AL46" s="149">
        <f>EXP(AL45)</f>
        <v>0.82695917577893896</v>
      </c>
      <c r="AN46" s="13">
        <v>60</v>
      </c>
      <c r="AO46" s="60">
        <f>$AL$50*AN46^$AL$48</f>
        <v>10.938688000000019</v>
      </c>
      <c r="AP46" s="13">
        <f t="shared" si="61"/>
        <v>60</v>
      </c>
      <c r="AQ46" s="60">
        <f>$AL$54*AP46^$AL$52</f>
        <v>11.62235600000019</v>
      </c>
      <c r="AR46" s="13">
        <f t="shared" si="63"/>
        <v>60</v>
      </c>
      <c r="AS46" s="60">
        <f>$AL$58*AR46^$AL$56</f>
        <v>12.142759999999884</v>
      </c>
      <c r="BA46" s="13">
        <v>60.5</v>
      </c>
      <c r="BB46" s="60">
        <f t="shared" si="57"/>
        <v>10.596265598570263</v>
      </c>
      <c r="BC46" s="13">
        <v>60.5</v>
      </c>
      <c r="BD46" s="8">
        <f t="shared" si="58"/>
        <v>11.359928121080692</v>
      </c>
      <c r="BE46" s="13">
        <v>60.5</v>
      </c>
      <c r="BF46" s="60">
        <f t="shared" si="59"/>
        <v>11.746292036181245</v>
      </c>
    </row>
    <row r="47" spans="1:58" ht="15.75" thickBot="1">
      <c r="A47" s="242"/>
      <c r="B47" s="242"/>
      <c r="C47" s="3"/>
      <c r="D47" s="3"/>
      <c r="E47" s="3"/>
      <c r="F47" s="3"/>
      <c r="G47" s="3"/>
      <c r="H47" s="3"/>
      <c r="I47" s="3"/>
      <c r="J47" s="145" t="s">
        <v>29</v>
      </c>
      <c r="K47" s="148">
        <f>(G45*G46+H45*H46+I45*I46)/3</f>
        <v>11.550071886425849</v>
      </c>
      <c r="L47" s="146" t="s">
        <v>40</v>
      </c>
      <c r="M47" s="149">
        <f>EXP(M46)</f>
        <v>1.2477846837318913</v>
      </c>
      <c r="N47" s="3"/>
      <c r="O47" s="3"/>
      <c r="P47" s="3"/>
      <c r="AB47" s="243"/>
      <c r="AC47" s="243"/>
      <c r="AD47" s="3"/>
      <c r="AE47" s="3"/>
      <c r="AF47" s="3"/>
      <c r="AG47" s="3"/>
      <c r="AH47" s="3"/>
      <c r="AI47" s="146" t="s">
        <v>31</v>
      </c>
      <c r="AJ47" s="149">
        <f>(AG44^2+AH44^2)/2</f>
        <v>15.185744510590808</v>
      </c>
      <c r="AK47" s="3"/>
      <c r="AL47" s="3"/>
      <c r="AN47" s="13">
        <v>62</v>
      </c>
      <c r="AO47" s="60">
        <f t="shared" ref="AO47:AO55" si="80">$AL$50*AN47^$AL$48</f>
        <v>11.127836584685035</v>
      </c>
      <c r="AP47" s="13">
        <f t="shared" si="61"/>
        <v>62</v>
      </c>
      <c r="AQ47" s="60">
        <f t="shared" ref="AQ47:AQ55" si="81">$AL$54*AP47^$AL$52</f>
        <v>11.834608932783169</v>
      </c>
      <c r="AR47" s="13">
        <f t="shared" si="63"/>
        <v>62</v>
      </c>
      <c r="AS47" s="60">
        <f t="shared" ref="AS47:AS55" si="82">$AL$58*AR47^$AL$56</f>
        <v>12.359683605800765</v>
      </c>
      <c r="BA47" s="13">
        <v>62</v>
      </c>
      <c r="BB47" s="60">
        <f t="shared" si="57"/>
        <v>10.736875472489359</v>
      </c>
      <c r="BC47" s="13">
        <v>62</v>
      </c>
      <c r="BD47" s="8">
        <f t="shared" si="58"/>
        <v>11.512725906570566</v>
      </c>
      <c r="BE47" s="13">
        <v>62</v>
      </c>
      <c r="BF47" s="60">
        <f t="shared" si="59"/>
        <v>11.907678266717076</v>
      </c>
    </row>
    <row r="48" spans="1:58" ht="15.75" thickBot="1">
      <c r="A48" s="242"/>
      <c r="B48" s="242"/>
      <c r="C48" s="3"/>
      <c r="D48" s="3"/>
      <c r="E48" s="3"/>
      <c r="F48" s="3"/>
      <c r="G48" s="3"/>
      <c r="H48" s="3"/>
      <c r="I48" s="3"/>
      <c r="J48" s="145" t="s">
        <v>31</v>
      </c>
      <c r="K48" s="148">
        <f>(G45^2+H45^2+I45^2)/3</f>
        <v>19.057802421034193</v>
      </c>
      <c r="L48" s="3"/>
      <c r="M48" s="3"/>
      <c r="N48" s="3"/>
      <c r="O48" s="3"/>
      <c r="P48" s="3"/>
      <c r="AB48" s="241" t="s">
        <v>118</v>
      </c>
      <c r="AC48" s="241">
        <v>-40</v>
      </c>
      <c r="AD48" s="151">
        <v>60</v>
      </c>
      <c r="AE48" s="151">
        <v>80</v>
      </c>
      <c r="AF48" s="144" t="s">
        <v>93</v>
      </c>
      <c r="AG48" s="151">
        <f>LN(AD48)</f>
        <v>4.0943445622221004</v>
      </c>
      <c r="AH48" s="151">
        <f t="shared" ref="AH48:AH49" si="83">LN(AE48)</f>
        <v>4.3820266346738812</v>
      </c>
      <c r="AI48" s="144" t="s">
        <v>28</v>
      </c>
      <c r="AJ48" s="147">
        <f>(AG48+AH48)/2</f>
        <v>4.2381855984479913</v>
      </c>
      <c r="AK48" s="144" t="s">
        <v>39</v>
      </c>
      <c r="AL48" s="147">
        <f>(AJ50-AJ48*AJ49)/(AJ51-AJ48^2)</f>
        <v>0.52284230447435653</v>
      </c>
      <c r="AN48" s="13">
        <v>64</v>
      </c>
      <c r="AO48" s="60">
        <f t="shared" si="80"/>
        <v>11.314095435419738</v>
      </c>
      <c r="AP48" s="13">
        <f t="shared" si="61"/>
        <v>64</v>
      </c>
      <c r="AQ48" s="60">
        <f t="shared" si="81"/>
        <v>12.043815417402397</v>
      </c>
      <c r="AR48" s="13">
        <f t="shared" si="63"/>
        <v>64</v>
      </c>
      <c r="AS48" s="60">
        <f t="shared" si="82"/>
        <v>12.573411483396288</v>
      </c>
      <c r="BA48" s="13">
        <v>63.5</v>
      </c>
      <c r="BB48" s="60">
        <f t="shared" si="52"/>
        <v>10.875923122845091</v>
      </c>
      <c r="BC48" s="13">
        <v>63.5</v>
      </c>
      <c r="BD48" s="8">
        <f t="shared" si="53"/>
        <v>11.663852699526197</v>
      </c>
      <c r="BE48" s="13">
        <v>63.5</v>
      </c>
      <c r="BF48" s="60">
        <f t="shared" si="54"/>
        <v>12.067344512923123</v>
      </c>
    </row>
    <row r="49" spans="1:58" ht="15.75" thickBot="1">
      <c r="A49" s="250"/>
      <c r="B49" s="251"/>
      <c r="C49" s="257"/>
      <c r="D49" s="257"/>
      <c r="E49" s="257"/>
      <c r="F49" s="257"/>
      <c r="G49" s="251"/>
      <c r="H49" s="251"/>
      <c r="I49" s="251"/>
      <c r="J49" s="251"/>
      <c r="K49" s="251"/>
      <c r="L49" s="251"/>
      <c r="M49" s="252"/>
      <c r="N49" s="3"/>
      <c r="O49" s="3"/>
      <c r="P49" s="3"/>
      <c r="AB49" s="242"/>
      <c r="AC49" s="242"/>
      <c r="AD49" s="152">
        <v>10.938688000000001</v>
      </c>
      <c r="AE49" s="152">
        <v>12.714184000000001</v>
      </c>
      <c r="AF49" s="146" t="s">
        <v>94</v>
      </c>
      <c r="AG49" s="152">
        <f>LN(AD49)</f>
        <v>2.3923058629281755</v>
      </c>
      <c r="AH49" s="152">
        <f t="shared" si="83"/>
        <v>2.5427182206448267</v>
      </c>
      <c r="AI49" s="145" t="s">
        <v>30</v>
      </c>
      <c r="AJ49" s="148">
        <f>(AG49+AH49)/2</f>
        <v>2.4675120417865011</v>
      </c>
      <c r="AK49" s="145" t="s">
        <v>95</v>
      </c>
      <c r="AL49" s="148">
        <f>AJ49-AJ48*AL48</f>
        <v>0.25160931670392328</v>
      </c>
      <c r="AN49" s="13">
        <v>66</v>
      </c>
      <c r="AO49" s="60">
        <f t="shared" si="80"/>
        <v>11.497596999585229</v>
      </c>
      <c r="AP49" s="13">
        <f t="shared" si="61"/>
        <v>66</v>
      </c>
      <c r="AQ49" s="60">
        <f t="shared" si="81"/>
        <v>12.25011239651367</v>
      </c>
      <c r="AR49" s="13">
        <f t="shared" si="63"/>
        <v>66</v>
      </c>
      <c r="AS49" s="60">
        <f t="shared" si="82"/>
        <v>12.784088441733202</v>
      </c>
      <c r="BA49" s="13">
        <v>65</v>
      </c>
      <c r="BB49" s="60">
        <f t="shared" si="52"/>
        <v>11.01346220911207</v>
      </c>
      <c r="BC49" s="13">
        <v>65</v>
      </c>
      <c r="BD49" s="8">
        <f t="shared" si="53"/>
        <v>11.813365614237703</v>
      </c>
      <c r="BE49" s="13">
        <v>65</v>
      </c>
      <c r="BF49" s="60">
        <f t="shared" si="54"/>
        <v>12.225349101479802</v>
      </c>
    </row>
    <row r="50" spans="1:58" ht="15.75" thickBot="1">
      <c r="A50" s="241" t="s">
        <v>89</v>
      </c>
      <c r="B50" s="245">
        <v>-40</v>
      </c>
      <c r="C50" s="144">
        <v>60</v>
      </c>
      <c r="D50" s="151">
        <v>80</v>
      </c>
      <c r="E50" s="151">
        <v>100</v>
      </c>
      <c r="F50" s="147">
        <v>120</v>
      </c>
      <c r="G50" s="151" t="s">
        <v>93</v>
      </c>
      <c r="H50" s="151">
        <f t="shared" ref="H50:K51" si="84">LN(C50)</f>
        <v>4.0943445622221004</v>
      </c>
      <c r="I50" s="151">
        <f t="shared" si="84"/>
        <v>4.3820266346738812</v>
      </c>
      <c r="J50" s="151">
        <f t="shared" si="84"/>
        <v>4.6051701859880918</v>
      </c>
      <c r="K50" s="151">
        <f t="shared" si="84"/>
        <v>4.7874917427820458</v>
      </c>
      <c r="L50" s="144" t="s">
        <v>28</v>
      </c>
      <c r="M50" s="147">
        <f>(H50+I50+J50+K50)/4</f>
        <v>4.4672582814165303</v>
      </c>
      <c r="N50" s="144" t="s">
        <v>39</v>
      </c>
      <c r="O50" s="147">
        <f>(M52-M50*M51)/(M53-M50^2)</f>
        <v>0.46687414108942338</v>
      </c>
      <c r="P50" s="3"/>
      <c r="AB50" s="242"/>
      <c r="AC50" s="242"/>
      <c r="AD50" s="3"/>
      <c r="AE50" s="3"/>
      <c r="AF50" s="3"/>
      <c r="AG50" s="3"/>
      <c r="AH50" s="3"/>
      <c r="AI50" s="145" t="s">
        <v>29</v>
      </c>
      <c r="AJ50" s="148">
        <f>(AG48*AG49+AH48*AH49)/2</f>
        <v>10.468591734194117</v>
      </c>
      <c r="AK50" s="146" t="s">
        <v>40</v>
      </c>
      <c r="AL50" s="149">
        <f>EXP(AL49)</f>
        <v>1.2860934838802773</v>
      </c>
      <c r="AN50" s="13">
        <v>68</v>
      </c>
      <c r="AO50" s="60">
        <f t="shared" si="80"/>
        <v>11.678463849610822</v>
      </c>
      <c r="AP50" s="13">
        <f t="shared" si="61"/>
        <v>68</v>
      </c>
      <c r="AQ50" s="60">
        <f t="shared" si="81"/>
        <v>12.453626718095299</v>
      </c>
      <c r="AR50" s="13">
        <f t="shared" si="63"/>
        <v>68</v>
      </c>
      <c r="AS50" s="60">
        <f t="shared" si="82"/>
        <v>12.991848565173443</v>
      </c>
      <c r="BA50" s="13">
        <v>66.5</v>
      </c>
      <c r="BB50" s="60">
        <f t="shared" si="52"/>
        <v>11.149543357825362</v>
      </c>
      <c r="BC50" s="13">
        <v>66.5</v>
      </c>
      <c r="BD50" s="8">
        <f t="shared" si="53"/>
        <v>11.961318546066467</v>
      </c>
      <c r="BE50" s="13">
        <v>66.5</v>
      </c>
      <c r="BF50" s="60">
        <f t="shared" si="54"/>
        <v>12.381747086946998</v>
      </c>
    </row>
    <row r="51" spans="1:58" ht="15.75" thickBot="1">
      <c r="A51" s="242"/>
      <c r="B51" s="246"/>
      <c r="C51" s="146">
        <v>10.938688000000001</v>
      </c>
      <c r="D51" s="152">
        <v>12.714184000000001</v>
      </c>
      <c r="E51" s="152">
        <v>14.081520000000001</v>
      </c>
      <c r="F51" s="149">
        <v>15.091716000000002</v>
      </c>
      <c r="G51" s="152" t="s">
        <v>94</v>
      </c>
      <c r="H51" s="152">
        <f t="shared" si="84"/>
        <v>2.3923058629281755</v>
      </c>
      <c r="I51" s="152">
        <f t="shared" si="84"/>
        <v>2.5427182206448267</v>
      </c>
      <c r="J51" s="152">
        <f t="shared" si="84"/>
        <v>2.6448632994486783</v>
      </c>
      <c r="K51" s="152">
        <f t="shared" si="84"/>
        <v>2.714145984008228</v>
      </c>
      <c r="L51" s="145" t="s">
        <v>30</v>
      </c>
      <c r="M51" s="148">
        <f>(H51+I51+J51+K51)/4</f>
        <v>2.5735083417574769</v>
      </c>
      <c r="N51" s="145" t="s">
        <v>95</v>
      </c>
      <c r="O51" s="148">
        <f>M51-M50*O50</f>
        <v>0.48786096859652073</v>
      </c>
      <c r="P51" s="3"/>
      <c r="AB51" s="242"/>
      <c r="AC51" s="243"/>
      <c r="AD51" s="3"/>
      <c r="AE51" s="3"/>
      <c r="AF51" s="3"/>
      <c r="AG51" s="3"/>
      <c r="AH51" s="3"/>
      <c r="AI51" s="146" t="s">
        <v>31</v>
      </c>
      <c r="AJ51" s="149">
        <f>(AG48^2+AH48^2)/2</f>
        <v>17.982907410594493</v>
      </c>
      <c r="AK51" s="3"/>
      <c r="AL51" s="3"/>
      <c r="AN51" s="13">
        <v>70</v>
      </c>
      <c r="AO51" s="60">
        <f t="shared" si="80"/>
        <v>11.856809686354838</v>
      </c>
      <c r="AP51" s="13">
        <f t="shared" si="61"/>
        <v>70</v>
      </c>
      <c r="AQ51" s="60">
        <f t="shared" si="81"/>
        <v>12.654476153013293</v>
      </c>
      <c r="AR51" s="13">
        <f t="shared" si="63"/>
        <v>70</v>
      </c>
      <c r="AS51" s="60">
        <f t="shared" si="82"/>
        <v>13.196816298101773</v>
      </c>
      <c r="BA51" s="13">
        <v>68</v>
      </c>
      <c r="BB51" s="60">
        <f t="shared" si="52"/>
        <v>11.28421439824954</v>
      </c>
      <c r="BC51" s="13">
        <v>68</v>
      </c>
      <c r="BD51" s="8">
        <f t="shared" si="53"/>
        <v>12.107762421060349</v>
      </c>
      <c r="BE51" s="13">
        <v>68</v>
      </c>
      <c r="BF51" s="60">
        <f t="shared" si="54"/>
        <v>12.536590504683137</v>
      </c>
    </row>
    <row r="52" spans="1:58" ht="15.75" thickBot="1">
      <c r="A52" s="242"/>
      <c r="B52" s="242"/>
      <c r="C52" s="3"/>
      <c r="D52" s="3"/>
      <c r="E52" s="3"/>
      <c r="F52" s="3"/>
      <c r="G52" s="3"/>
      <c r="H52" s="3"/>
      <c r="I52" s="3"/>
      <c r="J52" s="3"/>
      <c r="K52" s="3"/>
      <c r="L52" s="145" t="s">
        <v>29</v>
      </c>
      <c r="M52" s="148">
        <f>(H50*H51+I50*I51+J50*J51+K50*K51)/4</f>
        <v>11.527795142041956</v>
      </c>
      <c r="N52" s="146" t="s">
        <v>40</v>
      </c>
      <c r="O52" s="149">
        <f>EXP(O51)</f>
        <v>1.6288283759343043</v>
      </c>
      <c r="P52" s="3"/>
      <c r="AB52" s="242"/>
      <c r="AC52" s="241">
        <v>20</v>
      </c>
      <c r="AD52" s="151">
        <v>60</v>
      </c>
      <c r="AE52" s="151">
        <v>80</v>
      </c>
      <c r="AF52" s="144" t="s">
        <v>93</v>
      </c>
      <c r="AG52" s="151">
        <f>LN(AD52)</f>
        <v>4.0943445622221004</v>
      </c>
      <c r="AH52" s="151">
        <f t="shared" ref="AH52:AH53" si="85">LN(AE52)</f>
        <v>4.3820266346738812</v>
      </c>
      <c r="AI52" s="144" t="s">
        <v>28</v>
      </c>
      <c r="AJ52" s="147">
        <f>(AG52+AH52)/2</f>
        <v>4.2381855984479913</v>
      </c>
      <c r="AK52" s="144" t="s">
        <v>39</v>
      </c>
      <c r="AL52" s="147">
        <f>(AJ54-AJ52*AJ53)/(AJ55-AJ52^2)</f>
        <v>0.55193083821289923</v>
      </c>
      <c r="AN52" s="13">
        <v>72</v>
      </c>
      <c r="AO52" s="60">
        <f t="shared" si="80"/>
        <v>12.032740214926795</v>
      </c>
      <c r="AP52" s="13">
        <f t="shared" si="61"/>
        <v>72</v>
      </c>
      <c r="AQ52" s="60">
        <f t="shared" si="81"/>
        <v>12.852770284010946</v>
      </c>
      <c r="AR52" s="13">
        <f t="shared" si="63"/>
        <v>72</v>
      </c>
      <c r="AS52" s="60">
        <f t="shared" si="82"/>
        <v>13.399107392143009</v>
      </c>
      <c r="BA52" s="13">
        <v>69.5</v>
      </c>
      <c r="BB52" s="60">
        <f t="shared" si="52"/>
        <v>11.417520574962328</v>
      </c>
      <c r="BC52" s="13">
        <v>69.5</v>
      </c>
      <c r="BD52" s="8">
        <f t="shared" si="53"/>
        <v>12.252745421155273</v>
      </c>
      <c r="BE52" s="13">
        <v>69.5</v>
      </c>
      <c r="BF52" s="60">
        <f t="shared" si="54"/>
        <v>12.689928599088875</v>
      </c>
    </row>
    <row r="53" spans="1:58" ht="15.75" thickBot="1">
      <c r="A53" s="242"/>
      <c r="B53" s="243"/>
      <c r="C53" s="3"/>
      <c r="D53" s="3"/>
      <c r="E53" s="3"/>
      <c r="F53" s="3"/>
      <c r="G53" s="3"/>
      <c r="H53" s="3"/>
      <c r="I53" s="3"/>
      <c r="J53" s="3"/>
      <c r="K53" s="3"/>
      <c r="L53" s="146" t="s">
        <v>31</v>
      </c>
      <c r="M53" s="149">
        <f>(H50^2+I50^2+J50^2+K50^2)/4</f>
        <v>20.023371112577212</v>
      </c>
      <c r="N53" s="3"/>
      <c r="O53" s="3"/>
      <c r="P53" s="3"/>
      <c r="AB53" s="242"/>
      <c r="AC53" s="242"/>
      <c r="AD53" s="152">
        <v>11.622356</v>
      </c>
      <c r="AE53" s="152">
        <v>13.622340000000001</v>
      </c>
      <c r="AF53" s="146" t="s">
        <v>94</v>
      </c>
      <c r="AG53" s="152">
        <f>LN(AD53)</f>
        <v>2.4529304847446101</v>
      </c>
      <c r="AH53" s="152">
        <f t="shared" si="85"/>
        <v>2.6117110921317779</v>
      </c>
      <c r="AI53" s="145" t="s">
        <v>30</v>
      </c>
      <c r="AJ53" s="148">
        <f>(AG53+AH53)/2</f>
        <v>2.5323207884381942</v>
      </c>
      <c r="AK53" s="145" t="s">
        <v>95</v>
      </c>
      <c r="AL53" s="148">
        <f>AJ53-AJ52*AL52</f>
        <v>0.19313545858495651</v>
      </c>
      <c r="AN53" s="13">
        <v>74</v>
      </c>
      <c r="AO53" s="60">
        <f t="shared" si="80"/>
        <v>12.206353912243372</v>
      </c>
      <c r="AP53" s="13">
        <f t="shared" si="61"/>
        <v>74</v>
      </c>
      <c r="AQ53" s="60">
        <f t="shared" si="81"/>
        <v>13.048611285473827</v>
      </c>
      <c r="AR53" s="13">
        <f t="shared" si="63"/>
        <v>74</v>
      </c>
      <c r="AS53" s="60">
        <f t="shared" si="82"/>
        <v>13.598829736708158</v>
      </c>
      <c r="BA53" s="13">
        <v>71</v>
      </c>
      <c r="BB53" s="60">
        <f t="shared" si="52"/>
        <v>11.549504740061803</v>
      </c>
      <c r="BC53" s="13">
        <v>71</v>
      </c>
      <c r="BD53" s="8">
        <f t="shared" si="53"/>
        <v>12.396313187824461</v>
      </c>
      <c r="BE53" s="13">
        <v>71</v>
      </c>
      <c r="BF53" s="60">
        <f t="shared" si="54"/>
        <v>12.841808030061561</v>
      </c>
    </row>
    <row r="54" spans="1:58" ht="15.75" thickBot="1">
      <c r="A54" s="242"/>
      <c r="B54" s="245">
        <v>20</v>
      </c>
      <c r="C54" s="144">
        <v>60</v>
      </c>
      <c r="D54" s="151">
        <v>80</v>
      </c>
      <c r="E54" s="151">
        <v>100</v>
      </c>
      <c r="F54" s="147">
        <v>120</v>
      </c>
      <c r="G54" s="151" t="s">
        <v>93</v>
      </c>
      <c r="H54" s="151">
        <f t="shared" ref="H54:K55" si="86">LN(C54)</f>
        <v>4.0943445622221004</v>
      </c>
      <c r="I54" s="151">
        <f t="shared" si="86"/>
        <v>4.3820266346738812</v>
      </c>
      <c r="J54" s="151">
        <f t="shared" si="86"/>
        <v>4.6051701859880918</v>
      </c>
      <c r="K54" s="151">
        <f t="shared" si="86"/>
        <v>4.7874917427820458</v>
      </c>
      <c r="L54" s="144" t="s">
        <v>28</v>
      </c>
      <c r="M54" s="147">
        <f t="shared" ref="M54:M55" si="87">(H54+I54+J54+K54)/4</f>
        <v>4.4672582814165303</v>
      </c>
      <c r="N54" s="144" t="s">
        <v>39</v>
      </c>
      <c r="O54" s="147">
        <f>(M56-M54*M55)/(M57-M54^2)</f>
        <v>0.49278774875000431</v>
      </c>
      <c r="P54" s="3"/>
      <c r="AB54" s="242"/>
      <c r="AC54" s="242"/>
      <c r="AD54" s="3"/>
      <c r="AE54" s="3"/>
      <c r="AF54" s="3"/>
      <c r="AG54" s="3"/>
      <c r="AH54" s="3"/>
      <c r="AI54" s="145" t="s">
        <v>29</v>
      </c>
      <c r="AJ54" s="148">
        <f>(AG52*AG53+AH52*AH53)/2</f>
        <v>10.743865079758788</v>
      </c>
      <c r="AK54" s="146" t="s">
        <v>40</v>
      </c>
      <c r="AL54" s="149">
        <f>EXP(AL53)</f>
        <v>1.2130471000341605</v>
      </c>
      <c r="AN54" s="13">
        <v>76</v>
      </c>
      <c r="AO54" s="60">
        <f t="shared" si="80"/>
        <v>12.377742702252561</v>
      </c>
      <c r="AP54" s="13">
        <f t="shared" si="61"/>
        <v>76</v>
      </c>
      <c r="AQ54" s="60">
        <f t="shared" si="81"/>
        <v>13.242094609966559</v>
      </c>
      <c r="AR54" s="13">
        <f t="shared" si="63"/>
        <v>76</v>
      </c>
      <c r="AS54" s="60">
        <f t="shared" si="82"/>
        <v>13.796084089991075</v>
      </c>
      <c r="BA54" s="13">
        <v>72.5</v>
      </c>
      <c r="BB54" s="60">
        <f t="shared" si="52"/>
        <v>11.6802075273377</v>
      </c>
      <c r="BC54" s="13">
        <v>72.5</v>
      </c>
      <c r="BD54" s="8">
        <f t="shared" si="53"/>
        <v>12.538509006647869</v>
      </c>
      <c r="BE54" s="13">
        <v>72.5</v>
      </c>
      <c r="BF54" s="60">
        <f t="shared" si="54"/>
        <v>12.992273060155206</v>
      </c>
    </row>
    <row r="55" spans="1:58" ht="15.75" thickBot="1">
      <c r="A55" s="242"/>
      <c r="B55" s="246"/>
      <c r="C55" s="146">
        <v>11.622356</v>
      </c>
      <c r="D55" s="152">
        <v>13.622340000000001</v>
      </c>
      <c r="E55" s="152">
        <v>15.101920000000002</v>
      </c>
      <c r="F55" s="149">
        <v>16.357011999999997</v>
      </c>
      <c r="G55" s="152" t="s">
        <v>94</v>
      </c>
      <c r="H55" s="152">
        <f t="shared" si="86"/>
        <v>2.4529304847446101</v>
      </c>
      <c r="I55" s="152">
        <f t="shared" si="86"/>
        <v>2.6117110921317779</v>
      </c>
      <c r="J55" s="152">
        <f t="shared" si="86"/>
        <v>2.7148218880555888</v>
      </c>
      <c r="K55" s="152">
        <f t="shared" si="86"/>
        <v>2.7946566739069807</v>
      </c>
      <c r="L55" s="145" t="s">
        <v>30</v>
      </c>
      <c r="M55" s="148">
        <f t="shared" si="87"/>
        <v>2.6435300347097392</v>
      </c>
      <c r="N55" s="145" t="s">
        <v>95</v>
      </c>
      <c r="O55" s="148">
        <f>M55-M54*O54</f>
        <v>0.4421198831256743</v>
      </c>
      <c r="P55" s="3"/>
      <c r="AB55" s="242"/>
      <c r="AC55" s="243"/>
      <c r="AD55" s="3"/>
      <c r="AE55" s="3"/>
      <c r="AF55" s="3"/>
      <c r="AG55" s="3"/>
      <c r="AH55" s="3"/>
      <c r="AI55" s="146" t="s">
        <v>31</v>
      </c>
      <c r="AJ55" s="149">
        <f>(AG52^2+AH52^2)/2</f>
        <v>17.982907410594493</v>
      </c>
      <c r="AK55" s="3"/>
      <c r="AL55" s="3"/>
      <c r="AN55" s="13">
        <v>78</v>
      </c>
      <c r="AO55" s="60">
        <f t="shared" si="80"/>
        <v>12.546992552059304</v>
      </c>
      <c r="AP55" s="13">
        <f t="shared" si="61"/>
        <v>78</v>
      </c>
      <c r="AQ55" s="60">
        <f t="shared" si="81"/>
        <v>13.433309594837477</v>
      </c>
      <c r="AR55" s="13">
        <f t="shared" si="63"/>
        <v>78</v>
      </c>
      <c r="AS55" s="60">
        <f t="shared" si="82"/>
        <v>13.990964724642032</v>
      </c>
      <c r="BA55" s="13">
        <v>74</v>
      </c>
      <c r="BB55" s="60">
        <f t="shared" si="52"/>
        <v>11.809667510436213</v>
      </c>
      <c r="BC55" s="13">
        <v>74</v>
      </c>
      <c r="BD55" s="8">
        <f t="shared" si="53"/>
        <v>12.679373974945891</v>
      </c>
      <c r="BE55" s="13">
        <v>74</v>
      </c>
      <c r="BF55" s="60">
        <f t="shared" si="54"/>
        <v>13.141365724609763</v>
      </c>
    </row>
    <row r="56" spans="1:58" ht="15.75" thickBot="1">
      <c r="A56" s="242"/>
      <c r="B56" s="242"/>
      <c r="C56" s="3"/>
      <c r="D56" s="3"/>
      <c r="E56" s="3"/>
      <c r="F56" s="3"/>
      <c r="G56" s="3"/>
      <c r="H56" s="3"/>
      <c r="I56" s="3"/>
      <c r="J56" s="3"/>
      <c r="K56" s="3"/>
      <c r="L56" s="145" t="s">
        <v>29</v>
      </c>
      <c r="M56" s="148">
        <f t="shared" ref="M56" si="88">(H54*H55+I54*I55+J54*J55+K54*K55)/4</f>
        <v>11.842335682224871</v>
      </c>
      <c r="N56" s="146" t="s">
        <v>40</v>
      </c>
      <c r="O56" s="149">
        <f>EXP(O55)</f>
        <v>1.5560022676685545</v>
      </c>
      <c r="P56" s="3"/>
      <c r="AB56" s="242"/>
      <c r="AC56" s="241">
        <v>50</v>
      </c>
      <c r="AD56" s="151">
        <v>60</v>
      </c>
      <c r="AE56" s="151">
        <v>80</v>
      </c>
      <c r="AF56" s="144" t="s">
        <v>93</v>
      </c>
      <c r="AG56" s="151">
        <f>LN(AD56)</f>
        <v>4.0943445622221004</v>
      </c>
      <c r="AH56" s="151">
        <f t="shared" ref="AH56:AH57" si="89">LN(AE56)</f>
        <v>4.3820266346738812</v>
      </c>
      <c r="AI56" s="144" t="s">
        <v>28</v>
      </c>
      <c r="AJ56" s="147">
        <f>(AG56+AH56)/2</f>
        <v>4.2381855984479913</v>
      </c>
      <c r="AK56" s="144" t="s">
        <v>39</v>
      </c>
      <c r="AL56" s="147">
        <f>(AJ58-AJ56*AJ57)/(AJ59-AJ56^2)</f>
        <v>0.54000737235797136</v>
      </c>
      <c r="AN56" s="13">
        <v>80</v>
      </c>
      <c r="AO56" s="60">
        <f>$AL$62*AN56^$AL$60</f>
        <v>12.71418399999979</v>
      </c>
      <c r="AP56" s="13">
        <f t="shared" si="61"/>
        <v>80</v>
      </c>
      <c r="AQ56" s="60">
        <f>$AL$66*AP56^$AL$64</f>
        <v>13.622339999999948</v>
      </c>
      <c r="AR56" s="13">
        <f t="shared" si="63"/>
        <v>80</v>
      </c>
      <c r="AS56" s="60">
        <f>$AL$70*AR56^$AL$68</f>
        <v>14.183560000000123</v>
      </c>
      <c r="BA56" s="13">
        <v>75.5</v>
      </c>
      <c r="BB56" s="60">
        <f t="shared" si="52"/>
        <v>11.937921346782506</v>
      </c>
      <c r="BC56" s="13">
        <v>75.5</v>
      </c>
      <c r="BD56" s="8">
        <f t="shared" si="53"/>
        <v>12.818947154341648</v>
      </c>
      <c r="BE56" s="13">
        <v>75.5</v>
      </c>
      <c r="BF56" s="60">
        <f t="shared" si="54"/>
        <v>13.289125986131774</v>
      </c>
    </row>
    <row r="57" spans="1:58" ht="15.75" thickBot="1">
      <c r="A57" s="242"/>
      <c r="B57" s="243"/>
      <c r="C57" s="3"/>
      <c r="D57" s="3"/>
      <c r="E57" s="3"/>
      <c r="F57" s="3"/>
      <c r="G57" s="3"/>
      <c r="H57" s="3"/>
      <c r="I57" s="3"/>
      <c r="J57" s="3"/>
      <c r="K57" s="3"/>
      <c r="L57" s="146" t="s">
        <v>31</v>
      </c>
      <c r="M57" s="149">
        <f t="shared" ref="M57" si="90">(H54^2+I54^2+J54^2+K54^2)/4</f>
        <v>20.023371112577212</v>
      </c>
      <c r="N57" s="3"/>
      <c r="O57" s="3"/>
      <c r="P57" s="3"/>
      <c r="AB57" s="242"/>
      <c r="AC57" s="242"/>
      <c r="AD57" s="152">
        <v>12.142760000000001</v>
      </c>
      <c r="AE57" s="152">
        <v>14.18356</v>
      </c>
      <c r="AF57" s="146" t="s">
        <v>94</v>
      </c>
      <c r="AG57" s="152">
        <f>LN(AD57)</f>
        <v>2.4967331074030032</v>
      </c>
      <c r="AH57" s="152">
        <f t="shared" si="89"/>
        <v>2.6520835474221656</v>
      </c>
      <c r="AI57" s="145" t="s">
        <v>30</v>
      </c>
      <c r="AJ57" s="148">
        <f>(AG57+AH57)/2</f>
        <v>2.5744083274125842</v>
      </c>
      <c r="AK57" s="145" t="s">
        <v>95</v>
      </c>
      <c r="AL57" s="148">
        <f>AJ57-AJ56*AL56</f>
        <v>0.28575685882928825</v>
      </c>
      <c r="AN57" s="13">
        <v>82</v>
      </c>
      <c r="AO57" s="60">
        <f t="shared" ref="AO57:AO65" si="91">$AL$62*AN57^$AL$60</f>
        <v>12.858709807873822</v>
      </c>
      <c r="AP57" s="13">
        <f t="shared" si="61"/>
        <v>82</v>
      </c>
      <c r="AQ57" s="60">
        <f t="shared" ref="AQ57:AQ65" si="92">$AL$66*AP57^$AL$64</f>
        <v>13.778661448159381</v>
      </c>
      <c r="AR57" s="13">
        <f t="shared" si="63"/>
        <v>82</v>
      </c>
      <c r="AS57" s="60">
        <f t="shared" ref="AS57:AS65" si="93">$AL$70*AR57^$AL$68</f>
        <v>14.387088650628803</v>
      </c>
      <c r="BA57" s="13">
        <v>77</v>
      </c>
      <c r="BB57" s="60">
        <f t="shared" si="52"/>
        <v>12.065003908800088</v>
      </c>
      <c r="BC57" s="13">
        <v>77</v>
      </c>
      <c r="BD57" s="8">
        <f t="shared" si="53"/>
        <v>12.957265709878619</v>
      </c>
      <c r="BE57" s="13">
        <v>77</v>
      </c>
      <c r="BF57" s="60">
        <f t="shared" si="54"/>
        <v>13.435591876068802</v>
      </c>
    </row>
    <row r="58" spans="1:58" ht="15.75" thickBot="1">
      <c r="A58" s="242"/>
      <c r="B58" s="245">
        <v>50</v>
      </c>
      <c r="C58" s="144">
        <v>60</v>
      </c>
      <c r="D58" s="151">
        <v>80</v>
      </c>
      <c r="E58" s="151">
        <v>100</v>
      </c>
      <c r="F58" s="147">
        <v>120</v>
      </c>
      <c r="G58" s="151" t="s">
        <v>93</v>
      </c>
      <c r="H58" s="151">
        <f t="shared" ref="H58:K59" si="94">LN(C58)</f>
        <v>4.0943445622221004</v>
      </c>
      <c r="I58" s="151">
        <f t="shared" si="94"/>
        <v>4.3820266346738812</v>
      </c>
      <c r="J58" s="151">
        <f t="shared" si="94"/>
        <v>4.6051701859880918</v>
      </c>
      <c r="K58" s="151">
        <f t="shared" si="94"/>
        <v>4.7874917427820458</v>
      </c>
      <c r="L58" s="144" t="s">
        <v>28</v>
      </c>
      <c r="M58" s="147">
        <f>(H58+I58+J58+K58)/4</f>
        <v>4.4672582814165303</v>
      </c>
      <c r="N58" s="144" t="s">
        <v>39</v>
      </c>
      <c r="O58" s="147">
        <f>(M60-M58*M59)/(M61-M58^2)</f>
        <v>0.51930952603541936</v>
      </c>
      <c r="P58" s="3"/>
      <c r="AB58" s="242"/>
      <c r="AC58" s="242"/>
      <c r="AD58" s="3"/>
      <c r="AE58" s="3"/>
      <c r="AF58" s="3"/>
      <c r="AG58" s="3"/>
      <c r="AH58" s="3"/>
      <c r="AI58" s="145" t="s">
        <v>29</v>
      </c>
      <c r="AJ58" s="148">
        <f>(AG56*AG57+AH56*AH57)/2</f>
        <v>10.921993181899847</v>
      </c>
      <c r="AK58" s="146" t="s">
        <v>40</v>
      </c>
      <c r="AL58" s="149">
        <f>EXP(AL57)</f>
        <v>1.3307688512167224</v>
      </c>
      <c r="AN58" s="13">
        <v>84</v>
      </c>
      <c r="AO58" s="60">
        <f t="shared" si="91"/>
        <v>13.001336537901551</v>
      </c>
      <c r="AP58" s="13">
        <f t="shared" si="61"/>
        <v>84</v>
      </c>
      <c r="AQ58" s="60">
        <f t="shared" si="92"/>
        <v>13.932945110195895</v>
      </c>
      <c r="AR58" s="13">
        <f t="shared" si="63"/>
        <v>84</v>
      </c>
      <c r="AS58" s="60">
        <f t="shared" si="93"/>
        <v>14.588528026018475</v>
      </c>
      <c r="BA58" s="13">
        <v>78.5</v>
      </c>
      <c r="BB58" s="60">
        <f t="shared" si="52"/>
        <v>12.190948403772847</v>
      </c>
      <c r="BC58" s="13">
        <v>78.5</v>
      </c>
      <c r="BD58" s="8">
        <f t="shared" si="53"/>
        <v>13.094365037116081</v>
      </c>
      <c r="BE58" s="13">
        <v>78.5</v>
      </c>
      <c r="BF58" s="60">
        <f t="shared" si="54"/>
        <v>13.580799623414473</v>
      </c>
    </row>
    <row r="59" spans="1:58" ht="15.75" thickBot="1">
      <c r="A59" s="242"/>
      <c r="B59" s="246"/>
      <c r="C59" s="146">
        <v>12.142760000000001</v>
      </c>
      <c r="D59" s="152">
        <v>14.18356</v>
      </c>
      <c r="E59" s="152">
        <v>16.132524000000004</v>
      </c>
      <c r="F59" s="149">
        <v>17.290678</v>
      </c>
      <c r="G59" s="152" t="s">
        <v>94</v>
      </c>
      <c r="H59" s="152">
        <f t="shared" si="94"/>
        <v>2.4967331074030032</v>
      </c>
      <c r="I59" s="152">
        <f t="shared" si="94"/>
        <v>2.6520835474221656</v>
      </c>
      <c r="J59" s="152">
        <f t="shared" si="94"/>
        <v>2.7808373585069002</v>
      </c>
      <c r="K59" s="152">
        <f t="shared" si="94"/>
        <v>2.8501675123445338</v>
      </c>
      <c r="L59" s="145" t="s">
        <v>30</v>
      </c>
      <c r="M59" s="148">
        <f t="shared" ref="M59" si="95">(H59+I59+J59+K59)/4</f>
        <v>2.6949553814191507</v>
      </c>
      <c r="N59" s="145" t="s">
        <v>95</v>
      </c>
      <c r="O59" s="148">
        <f>M59-M58*O58</f>
        <v>0.37506560061893035</v>
      </c>
      <c r="P59" s="3"/>
      <c r="AB59" s="243"/>
      <c r="AC59" s="243"/>
      <c r="AD59" s="3"/>
      <c r="AE59" s="3"/>
      <c r="AF59" s="3"/>
      <c r="AG59" s="3"/>
      <c r="AH59" s="3"/>
      <c r="AI59" s="146" t="s">
        <v>31</v>
      </c>
      <c r="AJ59" s="149">
        <f>(AG56^2+AH56^2)/2</f>
        <v>17.982907410594493</v>
      </c>
      <c r="AK59" s="3"/>
      <c r="AL59" s="3"/>
      <c r="AN59" s="13">
        <v>86</v>
      </c>
      <c r="AO59" s="60">
        <f t="shared" si="91"/>
        <v>13.142133489382578</v>
      </c>
      <c r="AP59" s="13">
        <f t="shared" si="61"/>
        <v>86</v>
      </c>
      <c r="AQ59" s="60">
        <f t="shared" si="92"/>
        <v>14.085265142161214</v>
      </c>
      <c r="AR59" s="13">
        <f t="shared" si="63"/>
        <v>86</v>
      </c>
      <c r="AS59" s="60">
        <f t="shared" si="93"/>
        <v>14.787948570942063</v>
      </c>
      <c r="BA59" s="13">
        <v>80</v>
      </c>
      <c r="BB59" s="60">
        <f t="shared" si="52"/>
        <v>12.315786483530326</v>
      </c>
      <c r="BC59" s="13">
        <v>80</v>
      </c>
      <c r="BD59" s="8">
        <f t="shared" si="53"/>
        <v>13.230278878450505</v>
      </c>
      <c r="BE59" s="13">
        <v>80</v>
      </c>
      <c r="BF59" s="60">
        <f t="shared" si="54"/>
        <v>13.724783772904887</v>
      </c>
    </row>
    <row r="60" spans="1:58" ht="15.75" thickBot="1">
      <c r="A60" s="242"/>
      <c r="B60" s="242"/>
      <c r="C60" s="3"/>
      <c r="D60" s="3"/>
      <c r="E60" s="3"/>
      <c r="F60" s="3"/>
      <c r="G60" s="3"/>
      <c r="H60" s="3"/>
      <c r="I60" s="3"/>
      <c r="J60" s="3"/>
      <c r="K60" s="3"/>
      <c r="L60" s="145" t="s">
        <v>29</v>
      </c>
      <c r="M60" s="148">
        <f t="shared" ref="M60" si="96">(H58*H59+I58*I59+J58*J59+K58*K59)/4</f>
        <v>12.073842272543162</v>
      </c>
      <c r="N60" s="146" t="s">
        <v>40</v>
      </c>
      <c r="O60" s="149">
        <f>EXP(O59)</f>
        <v>1.4550868660863421</v>
      </c>
      <c r="P60" s="3"/>
      <c r="Q60" s="3"/>
      <c r="R60" s="3"/>
      <c r="S60" s="3"/>
      <c r="T60" s="3"/>
      <c r="U60" s="3"/>
      <c r="V60" s="3"/>
      <c r="W60" s="3"/>
      <c r="AB60" s="241" t="s">
        <v>119</v>
      </c>
      <c r="AC60" s="241">
        <v>-40</v>
      </c>
      <c r="AD60" s="144">
        <v>80</v>
      </c>
      <c r="AE60" s="147">
        <v>100</v>
      </c>
      <c r="AF60" s="144" t="s">
        <v>93</v>
      </c>
      <c r="AG60" s="151">
        <f>LN(AD60)</f>
        <v>4.3820266346738812</v>
      </c>
      <c r="AH60" s="151">
        <f t="shared" ref="AH60:AH61" si="97">LN(AE60)</f>
        <v>4.6051701859880918</v>
      </c>
      <c r="AI60" s="144" t="s">
        <v>28</v>
      </c>
      <c r="AJ60" s="147">
        <f>(AG60+AH60)/2</f>
        <v>4.4935984103309865</v>
      </c>
      <c r="AK60" s="144" t="s">
        <v>39</v>
      </c>
      <c r="AL60" s="147">
        <f>(AJ62-AJ60*AJ61)/(AJ63-AJ60^2)</f>
        <v>0.45775501107829158</v>
      </c>
      <c r="AN60" s="13">
        <v>88</v>
      </c>
      <c r="AO60" s="60">
        <f t="shared" si="91"/>
        <v>13.281165889211248</v>
      </c>
      <c r="AP60" s="13">
        <f t="shared" si="61"/>
        <v>88</v>
      </c>
      <c r="AQ60" s="60">
        <f t="shared" si="92"/>
        <v>14.235691349491619</v>
      </c>
      <c r="AR60" s="13">
        <f t="shared" si="63"/>
        <v>88</v>
      </c>
      <c r="AS60" s="60">
        <f t="shared" si="93"/>
        <v>14.985416779140143</v>
      </c>
      <c r="BA60" s="13">
        <v>81.5</v>
      </c>
      <c r="BB60" s="60">
        <f t="shared" si="52"/>
        <v>12.439548344994211</v>
      </c>
      <c r="BC60" s="13">
        <v>81.5</v>
      </c>
      <c r="BD60" s="8">
        <f t="shared" si="53"/>
        <v>13.365039429760483</v>
      </c>
      <c r="BE60" s="13">
        <v>81.5</v>
      </c>
      <c r="BF60" s="60">
        <f t="shared" si="54"/>
        <v>13.867577293315474</v>
      </c>
    </row>
    <row r="61" spans="1:58" ht="15.75" thickBot="1">
      <c r="A61" s="243"/>
      <c r="B61" s="242"/>
      <c r="C61" s="3"/>
      <c r="D61" s="3"/>
      <c r="E61" s="3"/>
      <c r="F61" s="3"/>
      <c r="G61" s="3"/>
      <c r="H61" s="3"/>
      <c r="I61" s="3"/>
      <c r="J61" s="3"/>
      <c r="K61" s="3"/>
      <c r="L61" s="145" t="s">
        <v>31</v>
      </c>
      <c r="M61" s="149">
        <f t="shared" ref="M61" si="98">(H58^2+I58^2+J58^2+K58^2)/4</f>
        <v>20.023371112577212</v>
      </c>
      <c r="N61" s="3"/>
      <c r="O61" s="3"/>
      <c r="P61" s="3"/>
      <c r="Q61" s="3"/>
      <c r="R61" s="3"/>
      <c r="S61" s="3"/>
      <c r="T61" s="3"/>
      <c r="U61" s="3"/>
      <c r="V61" s="3"/>
      <c r="W61" s="3"/>
      <c r="AB61" s="242"/>
      <c r="AC61" s="242"/>
      <c r="AD61" s="14">
        <v>12.714184000000001</v>
      </c>
      <c r="AE61" s="62">
        <v>14.081520000000001</v>
      </c>
      <c r="AF61" s="146" t="s">
        <v>94</v>
      </c>
      <c r="AG61" s="152">
        <f>LN(AD61)</f>
        <v>2.5427182206448267</v>
      </c>
      <c r="AH61" s="152">
        <f t="shared" si="97"/>
        <v>2.6448632994486783</v>
      </c>
      <c r="AI61" s="145" t="s">
        <v>30</v>
      </c>
      <c r="AJ61" s="148">
        <f>(AG61+AH61)/2</f>
        <v>2.5937907600467525</v>
      </c>
      <c r="AK61" s="145" t="s">
        <v>95</v>
      </c>
      <c r="AL61" s="148">
        <f>AJ61-AJ60*AL60</f>
        <v>0.53682356994429847</v>
      </c>
      <c r="AN61" s="13">
        <v>90</v>
      </c>
      <c r="AO61" s="60">
        <f t="shared" si="91"/>
        <v>13.418495217815801</v>
      </c>
      <c r="AP61" s="13">
        <f t="shared" si="61"/>
        <v>90</v>
      </c>
      <c r="AQ61" s="60">
        <f t="shared" si="92"/>
        <v>14.384289534805736</v>
      </c>
      <c r="AR61" s="13">
        <f t="shared" si="63"/>
        <v>90</v>
      </c>
      <c r="AS61" s="60">
        <f t="shared" si="93"/>
        <v>15.180995499317648</v>
      </c>
      <c r="BA61" s="13">
        <v>83</v>
      </c>
      <c r="BB61" s="60">
        <f t="shared" si="52"/>
        <v>12.562262822501035</v>
      </c>
      <c r="BC61" s="13">
        <v>83</v>
      </c>
      <c r="BD61" s="8">
        <f t="shared" si="53"/>
        <v>13.4986774383426</v>
      </c>
      <c r="BE61" s="13">
        <v>83</v>
      </c>
      <c r="BF61" s="60">
        <f t="shared" si="54"/>
        <v>14.009211676936099</v>
      </c>
    </row>
    <row r="62" spans="1:58" ht="15.75" thickBot="1">
      <c r="A62" s="250"/>
      <c r="B62" s="251"/>
      <c r="C62" s="257"/>
      <c r="D62" s="257"/>
      <c r="E62" s="257"/>
      <c r="F62" s="257"/>
      <c r="G62" s="257"/>
      <c r="H62" s="251"/>
      <c r="I62" s="251"/>
      <c r="J62" s="251"/>
      <c r="K62" s="251"/>
      <c r="L62" s="251"/>
      <c r="M62" s="252"/>
      <c r="N62" s="3"/>
      <c r="O62" s="3"/>
      <c r="P62" s="3"/>
      <c r="Q62" s="3"/>
      <c r="R62" s="3"/>
      <c r="S62" s="3"/>
      <c r="T62" s="3"/>
      <c r="U62" s="3"/>
      <c r="V62" s="3"/>
      <c r="W62" s="3"/>
      <c r="AB62" s="242"/>
      <c r="AC62" s="242"/>
      <c r="AD62" s="3"/>
      <c r="AE62" s="3"/>
      <c r="AF62" s="3"/>
      <c r="AG62" s="3"/>
      <c r="AH62" s="3"/>
      <c r="AI62" s="145" t="s">
        <v>29</v>
      </c>
      <c r="AJ62" s="148">
        <f>(AG60*AG61+AH60*AH61)/2</f>
        <v>11.661152289985679</v>
      </c>
      <c r="AK62" s="146" t="s">
        <v>40</v>
      </c>
      <c r="AL62" s="149">
        <f>EXP(AL61)</f>
        <v>1.7105647342571719</v>
      </c>
      <c r="AN62" s="13">
        <v>92</v>
      </c>
      <c r="AO62" s="60">
        <f t="shared" si="91"/>
        <v>13.554179502383377</v>
      </c>
      <c r="AP62" s="13">
        <f t="shared" si="61"/>
        <v>92</v>
      </c>
      <c r="AQ62" s="60">
        <f t="shared" si="92"/>
        <v>14.531121810825804</v>
      </c>
      <c r="AR62" s="13">
        <f t="shared" si="63"/>
        <v>92</v>
      </c>
      <c r="AS62" s="60">
        <f t="shared" si="93"/>
        <v>15.374744211194212</v>
      </c>
      <c r="BA62" s="13">
        <v>84.5</v>
      </c>
      <c r="BB62" s="60">
        <f t="shared" si="52"/>
        <v>12.683957472709725</v>
      </c>
      <c r="BC62" s="13">
        <v>84.5</v>
      </c>
      <c r="BD62" s="8">
        <f t="shared" si="53"/>
        <v>13.631222292993806</v>
      </c>
      <c r="BE62" s="13">
        <v>84.5</v>
      </c>
      <c r="BF62" s="60">
        <f t="shared" si="54"/>
        <v>14.149717031089089</v>
      </c>
    </row>
    <row r="63" spans="1:58" ht="15.75" thickBot="1">
      <c r="A63" s="247" t="s">
        <v>90</v>
      </c>
      <c r="B63" s="245">
        <v>-40</v>
      </c>
      <c r="C63" s="144">
        <v>60</v>
      </c>
      <c r="D63" s="151">
        <v>80</v>
      </c>
      <c r="E63" s="151">
        <v>100</v>
      </c>
      <c r="F63" s="151">
        <v>120</v>
      </c>
      <c r="G63" s="147">
        <v>140</v>
      </c>
      <c r="H63" s="151" t="s">
        <v>93</v>
      </c>
      <c r="I63" s="151">
        <f t="shared" ref="I63:M64" si="99">LN(C63)</f>
        <v>4.0943445622221004</v>
      </c>
      <c r="J63" s="151">
        <f t="shared" si="99"/>
        <v>4.3820266346738812</v>
      </c>
      <c r="K63" s="151">
        <f t="shared" si="99"/>
        <v>4.6051701859880918</v>
      </c>
      <c r="L63" s="151">
        <f t="shared" si="99"/>
        <v>4.7874917427820458</v>
      </c>
      <c r="M63" s="151">
        <f t="shared" si="99"/>
        <v>4.9416424226093039</v>
      </c>
      <c r="N63" s="144" t="s">
        <v>28</v>
      </c>
      <c r="O63" s="147">
        <f>(I63+J63+K63+L63+M63)/5</f>
        <v>4.5621351096550855</v>
      </c>
      <c r="P63" s="144" t="s">
        <v>39</v>
      </c>
      <c r="Q63" s="147">
        <f>(O65-O63*O64)/(O66-O63^2)</f>
        <v>0.44464310218947062</v>
      </c>
      <c r="R63" s="3"/>
      <c r="S63" s="3"/>
      <c r="T63" s="3"/>
      <c r="U63" s="3"/>
      <c r="V63" s="3"/>
      <c r="W63" s="3"/>
      <c r="AB63" s="242"/>
      <c r="AC63" s="243"/>
      <c r="AD63" s="3"/>
      <c r="AE63" s="3"/>
      <c r="AF63" s="3"/>
      <c r="AG63" s="3"/>
      <c r="AH63" s="3"/>
      <c r="AI63" s="146" t="s">
        <v>31</v>
      </c>
      <c r="AJ63" s="149">
        <f>(AG60^2+AH60^2)/2</f>
        <v>20.204874934452448</v>
      </c>
      <c r="AK63" s="3"/>
      <c r="AL63" s="3"/>
      <c r="AN63" s="13">
        <v>94</v>
      </c>
      <c r="AO63" s="60">
        <f t="shared" si="91"/>
        <v>13.688273581290735</v>
      </c>
      <c r="AP63" s="13">
        <f t="shared" si="61"/>
        <v>94</v>
      </c>
      <c r="AQ63" s="60">
        <f t="shared" si="92"/>
        <v>14.676246882598335</v>
      </c>
      <c r="AR63" s="13">
        <f t="shared" si="63"/>
        <v>94</v>
      </c>
      <c r="AS63" s="60">
        <f t="shared" si="93"/>
        <v>15.566719275123846</v>
      </c>
      <c r="BA63" s="13">
        <v>86</v>
      </c>
      <c r="BB63" s="60">
        <f t="shared" si="52"/>
        <v>12.804658652810232</v>
      </c>
      <c r="BC63" s="13">
        <v>86</v>
      </c>
      <c r="BD63" s="8">
        <f t="shared" si="53"/>
        <v>13.762702106997592</v>
      </c>
      <c r="BE63" s="13">
        <v>86</v>
      </c>
      <c r="BF63" s="60">
        <f t="shared" si="54"/>
        <v>14.289122162456195</v>
      </c>
    </row>
    <row r="64" spans="1:58" ht="15.75" thickBot="1">
      <c r="A64" s="248"/>
      <c r="B64" s="246"/>
      <c r="C64" s="146">
        <v>10.938688000000001</v>
      </c>
      <c r="D64" s="152">
        <v>12.714184000000001</v>
      </c>
      <c r="E64" s="152">
        <v>14.081520000000001</v>
      </c>
      <c r="F64" s="152">
        <v>15.091716000000002</v>
      </c>
      <c r="G64" s="149">
        <v>15.938648000000001</v>
      </c>
      <c r="H64" s="152" t="s">
        <v>94</v>
      </c>
      <c r="I64" s="152">
        <f t="shared" si="99"/>
        <v>2.3923058629281755</v>
      </c>
      <c r="J64" s="152">
        <f t="shared" si="99"/>
        <v>2.5427182206448267</v>
      </c>
      <c r="K64" s="152">
        <f t="shared" si="99"/>
        <v>2.6448632994486783</v>
      </c>
      <c r="L64" s="152">
        <f t="shared" si="99"/>
        <v>2.714145984008228</v>
      </c>
      <c r="M64" s="152">
        <f t="shared" si="99"/>
        <v>2.7687468516970593</v>
      </c>
      <c r="N64" s="145" t="s">
        <v>30</v>
      </c>
      <c r="O64" s="148">
        <f>(I64+J64+K64+L64+M64)/5</f>
        <v>2.6125560437453936</v>
      </c>
      <c r="P64" s="145" t="s">
        <v>95</v>
      </c>
      <c r="Q64" s="148">
        <f>O64-O63*Q63</f>
        <v>0.58403413598085585</v>
      </c>
      <c r="R64" s="3"/>
      <c r="S64" s="3"/>
      <c r="T64" s="3"/>
      <c r="U64" s="3"/>
      <c r="V64" s="3"/>
      <c r="W64" s="3"/>
      <c r="AB64" s="242"/>
      <c r="AC64" s="241">
        <v>20</v>
      </c>
      <c r="AD64" s="144">
        <v>80</v>
      </c>
      <c r="AE64" s="147">
        <v>100</v>
      </c>
      <c r="AF64" s="144" t="s">
        <v>93</v>
      </c>
      <c r="AG64" s="151">
        <f>LN(AD64)</f>
        <v>4.3820266346738812</v>
      </c>
      <c r="AH64" s="151">
        <f t="shared" ref="AH64:AH65" si="100">LN(AE64)</f>
        <v>4.6051701859880918</v>
      </c>
      <c r="AI64" s="144" t="s">
        <v>28</v>
      </c>
      <c r="AJ64" s="147">
        <f>(AG64+AH64)/2</f>
        <v>4.4935984103309865</v>
      </c>
      <c r="AK64" s="144" t="s">
        <v>39</v>
      </c>
      <c r="AL64" s="147">
        <f>(AJ66-AJ64*AJ65)/(AJ67-AJ64^2)</f>
        <v>0.46208279520758616</v>
      </c>
      <c r="AN64" s="13">
        <v>96</v>
      </c>
      <c r="AO64" s="60">
        <f t="shared" si="91"/>
        <v>13.820829343118035</v>
      </c>
      <c r="AP64" s="13">
        <f t="shared" si="61"/>
        <v>96</v>
      </c>
      <c r="AQ64" s="60">
        <f t="shared" si="92"/>
        <v>14.819720302612447</v>
      </c>
      <c r="AR64" s="13">
        <f t="shared" si="63"/>
        <v>96</v>
      </c>
      <c r="AS64" s="60">
        <f t="shared" si="93"/>
        <v>15.756974158321208</v>
      </c>
      <c r="BA64" s="13">
        <v>87.5</v>
      </c>
      <c r="BB64" s="60">
        <f t="shared" si="52"/>
        <v>12.92439159266889</v>
      </c>
      <c r="BC64" s="13">
        <v>87.5</v>
      </c>
      <c r="BD64" s="8">
        <f t="shared" si="53"/>
        <v>13.893143794686653</v>
      </c>
      <c r="BE64" s="13">
        <v>87.5</v>
      </c>
      <c r="BF64" s="60">
        <f t="shared" si="54"/>
        <v>14.427454654894547</v>
      </c>
    </row>
    <row r="65" spans="1:58" ht="15.75" thickBot="1">
      <c r="A65" s="248"/>
      <c r="B65" s="24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45" t="s">
        <v>29</v>
      </c>
      <c r="O65" s="148">
        <f>(I63*I64+J63*J64+K63*K64+L63*L64+M63*M64)/5</f>
        <v>11.958667493595993</v>
      </c>
      <c r="P65" s="146" t="s">
        <v>40</v>
      </c>
      <c r="Q65" s="149">
        <f>EXP(Q64)</f>
        <v>1.7932581054302204</v>
      </c>
      <c r="R65" s="3"/>
      <c r="S65" s="3"/>
      <c r="T65" s="3"/>
      <c r="U65" s="3"/>
      <c r="V65" s="3"/>
      <c r="W65" s="3"/>
      <c r="AB65" s="242"/>
      <c r="AC65" s="242"/>
      <c r="AD65" s="14">
        <v>13.622340000000001</v>
      </c>
      <c r="AE65" s="62">
        <v>15.101920000000002</v>
      </c>
      <c r="AF65" s="146" t="s">
        <v>94</v>
      </c>
      <c r="AG65" s="152">
        <f>LN(AD65)</f>
        <v>2.6117110921317779</v>
      </c>
      <c r="AH65" s="152">
        <f t="shared" si="100"/>
        <v>2.7148218880555888</v>
      </c>
      <c r="AI65" s="145" t="s">
        <v>30</v>
      </c>
      <c r="AJ65" s="148">
        <f>(AG65+AH65)/2</f>
        <v>2.6632664900936831</v>
      </c>
      <c r="AK65" s="145" t="s">
        <v>95</v>
      </c>
      <c r="AL65" s="148">
        <f>AJ65-AJ64*AL64</f>
        <v>0.586851976107575</v>
      </c>
      <c r="AN65" s="13">
        <v>98</v>
      </c>
      <c r="AO65" s="60">
        <f t="shared" si="91"/>
        <v>13.951895943164882</v>
      </c>
      <c r="AP65" s="13">
        <f t="shared" si="61"/>
        <v>98</v>
      </c>
      <c r="AQ65" s="60">
        <f t="shared" si="92"/>
        <v>14.961594701926419</v>
      </c>
      <c r="AR65" s="13">
        <f t="shared" si="63"/>
        <v>98</v>
      </c>
      <c r="AS65" s="60">
        <f t="shared" si="93"/>
        <v>15.945559640326815</v>
      </c>
      <c r="BA65" s="13">
        <v>89</v>
      </c>
      <c r="BB65" s="60">
        <f t="shared" si="52"/>
        <v>13.043180461476176</v>
      </c>
      <c r="BC65" s="13">
        <v>89</v>
      </c>
      <c r="BD65" s="8">
        <f t="shared" si="53"/>
        <v>14.022573142180576</v>
      </c>
      <c r="BE65" s="13">
        <v>89</v>
      </c>
      <c r="BF65" s="60">
        <f t="shared" si="54"/>
        <v>14.564740941347138</v>
      </c>
    </row>
    <row r="66" spans="1:58" ht="15.75" thickBot="1">
      <c r="A66" s="248"/>
      <c r="B66" s="24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146" t="s">
        <v>31</v>
      </c>
      <c r="O66" s="149">
        <f>(I63^2+J63^2+K63^2+L63^2+M63^2)/5</f>
        <v>20.90266285664816</v>
      </c>
      <c r="P66" s="3"/>
      <c r="Q66" s="3"/>
      <c r="R66" s="3"/>
      <c r="S66" s="3"/>
      <c r="T66" s="3"/>
      <c r="U66" s="3"/>
      <c r="V66" s="3"/>
      <c r="W66" s="3"/>
      <c r="AB66" s="242"/>
      <c r="AC66" s="242"/>
      <c r="AD66" s="3"/>
      <c r="AE66" s="3"/>
      <c r="AF66" s="3"/>
      <c r="AG66" s="3"/>
      <c r="AH66" s="3"/>
      <c r="AI66" s="145" t="s">
        <v>29</v>
      </c>
      <c r="AJ66" s="148">
        <f>(AG64*AG65+AH64*AH65)/2</f>
        <v>11.973402193468079</v>
      </c>
      <c r="AK66" s="146" t="s">
        <v>40</v>
      </c>
      <c r="AL66" s="149">
        <f>EXP(AL65)</f>
        <v>1.7983183462037311</v>
      </c>
      <c r="AN66" s="13">
        <v>100</v>
      </c>
      <c r="AO66" s="60">
        <f>$AL$74*AN66^$AL$72</f>
        <v>14.081519999999832</v>
      </c>
      <c r="AP66" s="13">
        <f t="shared" si="61"/>
        <v>100</v>
      </c>
      <c r="AQ66" s="60">
        <f>$AL$78*AP66^$AL$76</f>
        <v>15.101919999999419</v>
      </c>
      <c r="AR66" s="13">
        <f t="shared" si="63"/>
        <v>100</v>
      </c>
      <c r="AS66" s="60">
        <f>$AL$82*AR66^$AL$80</f>
        <v>16.132523999999989</v>
      </c>
      <c r="BA66" s="13">
        <v>90.5</v>
      </c>
      <c r="BB66" s="60">
        <f t="shared" si="52"/>
        <v>13.161048429401195</v>
      </c>
      <c r="BC66" s="13">
        <v>90.5</v>
      </c>
      <c r="BD66" s="8">
        <f t="shared" si="53"/>
        <v>14.151014872832025</v>
      </c>
      <c r="BE66" s="13">
        <v>90.5</v>
      </c>
      <c r="BF66" s="60">
        <f t="shared" si="54"/>
        <v>14.701006370387688</v>
      </c>
    </row>
    <row r="67" spans="1:58" ht="15.75" thickBot="1">
      <c r="A67" s="248"/>
      <c r="B67" s="245">
        <v>20</v>
      </c>
      <c r="C67" s="144">
        <v>60</v>
      </c>
      <c r="D67" s="151">
        <v>80</v>
      </c>
      <c r="E67" s="151">
        <v>100</v>
      </c>
      <c r="F67" s="151">
        <v>120</v>
      </c>
      <c r="G67" s="147">
        <v>140</v>
      </c>
      <c r="H67" s="151" t="s">
        <v>93</v>
      </c>
      <c r="I67" s="151">
        <f t="shared" ref="I67:M68" si="101">LN(C67)</f>
        <v>4.0943445622221004</v>
      </c>
      <c r="J67" s="151">
        <f t="shared" si="101"/>
        <v>4.3820266346738812</v>
      </c>
      <c r="K67" s="151">
        <f t="shared" si="101"/>
        <v>4.6051701859880918</v>
      </c>
      <c r="L67" s="151">
        <f t="shared" si="101"/>
        <v>4.7874917427820458</v>
      </c>
      <c r="M67" s="151">
        <f t="shared" si="101"/>
        <v>4.9416424226093039</v>
      </c>
      <c r="N67" s="144" t="s">
        <v>28</v>
      </c>
      <c r="O67" s="147">
        <f>(I67+J67+K67+L67+M67)/5</f>
        <v>4.5621351096550855</v>
      </c>
      <c r="P67" s="144" t="s">
        <v>39</v>
      </c>
      <c r="Q67" s="147">
        <f>(O69-O67*O68)/(O70-O67^2)</f>
        <v>0.47004920267692274</v>
      </c>
      <c r="R67" s="3"/>
      <c r="S67" s="3"/>
      <c r="T67" s="3"/>
      <c r="U67" s="3"/>
      <c r="V67" s="3"/>
      <c r="W67" s="3"/>
      <c r="AB67" s="242"/>
      <c r="AC67" s="243"/>
      <c r="AD67" s="3"/>
      <c r="AE67" s="3"/>
      <c r="AF67" s="3"/>
      <c r="AG67" s="3"/>
      <c r="AH67" s="3"/>
      <c r="AI67" s="146" t="s">
        <v>31</v>
      </c>
      <c r="AJ67" s="149">
        <f>(AG64^2+AH64^2)/2</f>
        <v>20.204874934452448</v>
      </c>
      <c r="AK67" s="3"/>
      <c r="AL67" s="3"/>
      <c r="AN67" s="13">
        <v>102</v>
      </c>
      <c r="AO67" s="60">
        <f t="shared" ref="AO67:AO75" si="102">$AL$74*AN67^$AL$72</f>
        <v>14.187883863948846</v>
      </c>
      <c r="AP67" s="13">
        <f t="shared" si="61"/>
        <v>102</v>
      </c>
      <c r="AQ67" s="60">
        <f t="shared" ref="AQ67:AQ75" si="103">$AL$78*AP67^$AL$76</f>
        <v>15.233440484851993</v>
      </c>
      <c r="AR67" s="13">
        <f t="shared" si="63"/>
        <v>102</v>
      </c>
      <c r="AS67" s="60">
        <f t="shared" ref="AS67:AS75" si="104">$AL$82*AR67^$AL$80</f>
        <v>16.254463796769389</v>
      </c>
      <c r="BA67" s="13">
        <v>92</v>
      </c>
      <c r="BB67" s="60">
        <f t="shared" si="52"/>
        <v>13.278017724703064</v>
      </c>
      <c r="BC67" s="13">
        <v>92</v>
      </c>
      <c r="BD67" s="8">
        <f t="shared" si="53"/>
        <v>14.278492707858135</v>
      </c>
      <c r="BE67" s="13">
        <v>92</v>
      </c>
      <c r="BF67" s="60">
        <f t="shared" si="54"/>
        <v>14.836275267882057</v>
      </c>
    </row>
    <row r="68" spans="1:58" ht="15.75" thickBot="1">
      <c r="A68" s="248"/>
      <c r="B68" s="246"/>
      <c r="C68" s="146">
        <v>11.622356</v>
      </c>
      <c r="D68" s="152">
        <v>13.622340000000001</v>
      </c>
      <c r="E68" s="152">
        <v>15.101920000000002</v>
      </c>
      <c r="F68" s="152">
        <v>16.357011999999997</v>
      </c>
      <c r="G68" s="149">
        <v>17.295780000000001</v>
      </c>
      <c r="H68" s="152" t="s">
        <v>94</v>
      </c>
      <c r="I68" s="152">
        <f t="shared" si="101"/>
        <v>2.4529304847446101</v>
      </c>
      <c r="J68" s="152">
        <f t="shared" si="101"/>
        <v>2.6117110921317779</v>
      </c>
      <c r="K68" s="152">
        <f t="shared" si="101"/>
        <v>2.7148218880555888</v>
      </c>
      <c r="L68" s="152">
        <f t="shared" si="101"/>
        <v>2.7946566739069807</v>
      </c>
      <c r="M68" s="152">
        <f t="shared" si="101"/>
        <v>2.8504625411119786</v>
      </c>
      <c r="N68" s="145" t="s">
        <v>30</v>
      </c>
      <c r="O68" s="148">
        <f>(I68+J68+K68+L68+M68)/5</f>
        <v>2.6849165359901872</v>
      </c>
      <c r="P68" s="145" t="s">
        <v>95</v>
      </c>
      <c r="Q68" s="148">
        <f>O68-O67*Q67</f>
        <v>0.54048856519241895</v>
      </c>
      <c r="R68" s="3"/>
      <c r="S68" s="3"/>
      <c r="T68" s="3"/>
      <c r="U68" s="3"/>
      <c r="W68" s="3"/>
      <c r="AB68" s="242"/>
      <c r="AC68" s="241">
        <v>50</v>
      </c>
      <c r="AD68" s="144">
        <v>80</v>
      </c>
      <c r="AE68" s="147">
        <v>100</v>
      </c>
      <c r="AF68" s="144" t="s">
        <v>93</v>
      </c>
      <c r="AG68" s="151">
        <f>LN(AD68)</f>
        <v>4.3820266346738812</v>
      </c>
      <c r="AH68" s="151">
        <f t="shared" ref="AH68:AH69" si="105">LN(AE68)</f>
        <v>4.6051701859880918</v>
      </c>
      <c r="AI68" s="144" t="s">
        <v>28</v>
      </c>
      <c r="AJ68" s="147">
        <f>(AG68+AH68)/2</f>
        <v>4.4935984103309865</v>
      </c>
      <c r="AK68" s="144" t="s">
        <v>39</v>
      </c>
      <c r="AL68" s="147">
        <f>(AJ70-AJ68*AJ69)/(AJ71-AJ68^2)</f>
        <v>0.57699991922875926</v>
      </c>
      <c r="AN68" s="13">
        <v>104</v>
      </c>
      <c r="AO68" s="60">
        <f t="shared" si="102"/>
        <v>14.292962403292346</v>
      </c>
      <c r="AP68" s="13">
        <f t="shared" si="61"/>
        <v>104</v>
      </c>
      <c r="AQ68" s="60">
        <f t="shared" si="103"/>
        <v>15.363519195405253</v>
      </c>
      <c r="AR68" s="13">
        <f t="shared" si="63"/>
        <v>104</v>
      </c>
      <c r="AS68" s="60">
        <f t="shared" si="104"/>
        <v>16.374930660952234</v>
      </c>
      <c r="BA68" s="13">
        <v>93.5</v>
      </c>
      <c r="BB68" s="60">
        <f t="shared" si="52"/>
        <v>13.394109686702581</v>
      </c>
      <c r="BC68" s="13">
        <v>93.5</v>
      </c>
      <c r="BD68" s="8">
        <f t="shared" si="53"/>
        <v>14.405029422583899</v>
      </c>
      <c r="BE68" s="13">
        <v>93.5</v>
      </c>
      <c r="BF68" s="60">
        <f t="shared" si="54"/>
        <v>14.970570994198477</v>
      </c>
    </row>
    <row r="69" spans="1:58" ht="15.75" thickBot="1">
      <c r="A69" s="248"/>
      <c r="B69" s="24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145" t="s">
        <v>29</v>
      </c>
      <c r="O69" s="148">
        <f>(I67*I68+J67*J68+K67*K68+L67*L68+M67*M68)/5</f>
        <v>12.29106186922343</v>
      </c>
      <c r="P69" s="146" t="s">
        <v>40</v>
      </c>
      <c r="Q69" s="149">
        <f>EXP(Q68)</f>
        <v>1.7168454482429729</v>
      </c>
      <c r="R69" s="3"/>
      <c r="S69" s="3"/>
      <c r="T69" s="3"/>
      <c r="U69" s="3"/>
      <c r="W69" s="3"/>
      <c r="AB69" s="242"/>
      <c r="AC69" s="242"/>
      <c r="AD69" s="14">
        <v>14.18356</v>
      </c>
      <c r="AE69" s="62">
        <v>16.132524000000004</v>
      </c>
      <c r="AF69" s="146" t="s">
        <v>94</v>
      </c>
      <c r="AG69" s="152">
        <f>LN(AD69)</f>
        <v>2.6520835474221656</v>
      </c>
      <c r="AH69" s="152">
        <f t="shared" si="105"/>
        <v>2.7808373585069002</v>
      </c>
      <c r="AI69" s="145" t="s">
        <v>30</v>
      </c>
      <c r="AJ69" s="148">
        <f>(AG69+AH69)/2</f>
        <v>2.7164604529645331</v>
      </c>
      <c r="AK69" s="145" t="s">
        <v>95</v>
      </c>
      <c r="AL69" s="148">
        <f>AJ69-AJ68*AL68</f>
        <v>0.12365453315707287</v>
      </c>
      <c r="AN69" s="13">
        <v>106</v>
      </c>
      <c r="AO69" s="60">
        <f t="shared" si="102"/>
        <v>14.396795427921392</v>
      </c>
      <c r="AP69" s="13">
        <f t="shared" si="61"/>
        <v>106</v>
      </c>
      <c r="AQ69" s="60">
        <f t="shared" si="103"/>
        <v>15.49219921576543</v>
      </c>
      <c r="AR69" s="13">
        <f t="shared" si="63"/>
        <v>106</v>
      </c>
      <c r="AS69" s="60">
        <f t="shared" si="104"/>
        <v>16.493970205935277</v>
      </c>
      <c r="BA69" s="13">
        <v>95</v>
      </c>
      <c r="BB69" s="60">
        <f t="shared" si="52"/>
        <v>13.509344814975488</v>
      </c>
      <c r="BC69" s="13">
        <v>95</v>
      </c>
      <c r="BD69" s="8">
        <f t="shared" si="53"/>
        <v>14.530646898680084</v>
      </c>
      <c r="BE69" s="13">
        <v>95</v>
      </c>
      <c r="BF69" s="60">
        <f t="shared" si="54"/>
        <v>15.103915997353589</v>
      </c>
    </row>
    <row r="70" spans="1:58" ht="15.75" thickBot="1">
      <c r="A70" s="248"/>
      <c r="B70" s="24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146" t="s">
        <v>31</v>
      </c>
      <c r="O70" s="149">
        <f>(I67^2+J67^2+K67^2+L67^2+M67^2)/5</f>
        <v>20.90266285664816</v>
      </c>
      <c r="P70" s="3"/>
      <c r="Q70" s="3"/>
      <c r="R70" s="3"/>
      <c r="S70" s="3"/>
      <c r="T70" s="3"/>
      <c r="U70" s="3"/>
      <c r="W70" s="3"/>
      <c r="AB70" s="242"/>
      <c r="AC70" s="242"/>
      <c r="AD70" s="3"/>
      <c r="AE70" s="3"/>
      <c r="AF70" s="3"/>
      <c r="AG70" s="3"/>
      <c r="AH70" s="3"/>
      <c r="AI70" s="145" t="s">
        <v>29</v>
      </c>
      <c r="AJ70" s="148">
        <f>(AG68*AG69+AH68*AH69)/2</f>
        <v>12.213865018831088</v>
      </c>
      <c r="AK70" s="146" t="s">
        <v>40</v>
      </c>
      <c r="AL70" s="149">
        <f>EXP(AL69)</f>
        <v>1.1316248645938407</v>
      </c>
      <c r="AN70" s="13">
        <v>108</v>
      </c>
      <c r="AO70" s="60">
        <f t="shared" si="102"/>
        <v>14.499420790918172</v>
      </c>
      <c r="AP70" s="13">
        <f t="shared" si="61"/>
        <v>108</v>
      </c>
      <c r="AQ70" s="60">
        <f t="shared" si="103"/>
        <v>15.619521557938365</v>
      </c>
      <c r="AR70" s="13">
        <f t="shared" si="63"/>
        <v>108</v>
      </c>
      <c r="AS70" s="60">
        <f t="shared" si="104"/>
        <v>16.61162580324962</v>
      </c>
      <c r="BA70" s="13">
        <v>96.5</v>
      </c>
      <c r="BB70" s="60">
        <f t="shared" si="52"/>
        <v>13.623742815092124</v>
      </c>
      <c r="BC70" s="13">
        <v>96.5</v>
      </c>
      <c r="BD70" s="8">
        <f t="shared" si="53"/>
        <v>14.655366172739587</v>
      </c>
      <c r="BE70" s="13">
        <v>96.5</v>
      </c>
      <c r="BF70" s="60">
        <f t="shared" si="54"/>
        <v>15.236331862442766</v>
      </c>
    </row>
    <row r="71" spans="1:58" ht="15.75" thickBot="1">
      <c r="A71" s="248"/>
      <c r="B71" s="245">
        <v>50</v>
      </c>
      <c r="C71" s="144">
        <v>60</v>
      </c>
      <c r="D71" s="151">
        <v>80</v>
      </c>
      <c r="E71" s="151">
        <v>100</v>
      </c>
      <c r="F71" s="151">
        <v>120</v>
      </c>
      <c r="G71" s="147">
        <v>140</v>
      </c>
      <c r="H71" s="151" t="s">
        <v>93</v>
      </c>
      <c r="I71" s="151">
        <f t="shared" ref="I71:M72" si="106">LN(C71)</f>
        <v>4.0943445622221004</v>
      </c>
      <c r="J71" s="151">
        <f t="shared" si="106"/>
        <v>4.3820266346738812</v>
      </c>
      <c r="K71" s="151">
        <f t="shared" si="106"/>
        <v>4.6051701859880918</v>
      </c>
      <c r="L71" s="151">
        <f t="shared" si="106"/>
        <v>4.7874917427820458</v>
      </c>
      <c r="M71" s="151">
        <f t="shared" si="106"/>
        <v>4.9416424226093039</v>
      </c>
      <c r="N71" s="144" t="s">
        <v>28</v>
      </c>
      <c r="O71" s="147">
        <f>(I71+J71+K71+L71+M71)/5</f>
        <v>4.5621351096550855</v>
      </c>
      <c r="P71" s="144" t="s">
        <v>39</v>
      </c>
      <c r="Q71" s="147">
        <f>(O73-O71*O72)/(O74-O71^2)</f>
        <v>0.49326423545942677</v>
      </c>
      <c r="R71" s="3"/>
      <c r="S71" s="3"/>
      <c r="T71" s="3"/>
      <c r="U71" s="3"/>
      <c r="W71" s="3"/>
      <c r="AB71" s="243"/>
      <c r="AC71" s="243"/>
      <c r="AD71" s="3"/>
      <c r="AE71" s="3"/>
      <c r="AF71" s="3"/>
      <c r="AG71" s="3"/>
      <c r="AH71" s="3"/>
      <c r="AI71" s="146" t="s">
        <v>31</v>
      </c>
      <c r="AJ71" s="149">
        <f>(AG68^2+AH68^2)/2</f>
        <v>20.204874934452448</v>
      </c>
      <c r="AK71" s="3"/>
      <c r="AL71" s="3"/>
      <c r="AN71" s="13">
        <v>110</v>
      </c>
      <c r="AO71" s="60">
        <f t="shared" si="102"/>
        <v>14.600874519010112</v>
      </c>
      <c r="AP71" s="13">
        <f t="shared" si="61"/>
        <v>110</v>
      </c>
      <c r="AQ71" s="60">
        <f t="shared" si="103"/>
        <v>15.745525297834357</v>
      </c>
      <c r="AR71" s="13">
        <f t="shared" si="63"/>
        <v>110</v>
      </c>
      <c r="AS71" s="60">
        <f t="shared" si="104"/>
        <v>16.727938732017556</v>
      </c>
      <c r="BA71" s="13">
        <v>98</v>
      </c>
      <c r="BB71" s="60">
        <f t="shared" si="52"/>
        <v>13.737322641195611</v>
      </c>
      <c r="BC71" s="13">
        <v>98</v>
      </c>
      <c r="BD71" s="8">
        <f t="shared" si="53"/>
        <v>14.779207481501608</v>
      </c>
      <c r="BE71" s="13">
        <v>98</v>
      </c>
      <c r="BF71" s="60">
        <f t="shared" si="54"/>
        <v>15.367839357667805</v>
      </c>
    </row>
    <row r="72" spans="1:58" ht="15.75" thickBot="1">
      <c r="A72" s="248"/>
      <c r="B72" s="246"/>
      <c r="C72" s="146">
        <v>12.142760000000001</v>
      </c>
      <c r="D72" s="152">
        <v>14.18356</v>
      </c>
      <c r="E72" s="152">
        <v>16.132524000000004</v>
      </c>
      <c r="F72" s="152">
        <v>17.290678</v>
      </c>
      <c r="G72" s="149">
        <v>18.3672</v>
      </c>
      <c r="H72" s="152" t="s">
        <v>94</v>
      </c>
      <c r="I72" s="152">
        <f t="shared" si="106"/>
        <v>2.4967331074030032</v>
      </c>
      <c r="J72" s="152">
        <f t="shared" si="106"/>
        <v>2.6520835474221656</v>
      </c>
      <c r="K72" s="152">
        <f t="shared" si="106"/>
        <v>2.7808373585069002</v>
      </c>
      <c r="L72" s="152">
        <f t="shared" si="106"/>
        <v>2.8501675123445338</v>
      </c>
      <c r="M72" s="152">
        <f t="shared" si="106"/>
        <v>2.910566465181684</v>
      </c>
      <c r="N72" s="145" t="s">
        <v>30</v>
      </c>
      <c r="O72" s="148">
        <f>(I72+J72+K72+L72+M72)/5</f>
        <v>2.7380775981716576</v>
      </c>
      <c r="P72" s="145" t="s">
        <v>95</v>
      </c>
      <c r="Q72" s="148">
        <f>O72-O71*Q71</f>
        <v>0.48773951124503379</v>
      </c>
      <c r="R72" s="3"/>
      <c r="S72" s="3"/>
      <c r="T72" s="3"/>
      <c r="U72" s="3"/>
      <c r="W72" s="3"/>
      <c r="AB72" s="241" t="s">
        <v>120</v>
      </c>
      <c r="AC72" s="241">
        <v>-40</v>
      </c>
      <c r="AD72" s="144">
        <v>100</v>
      </c>
      <c r="AE72" s="147">
        <v>120</v>
      </c>
      <c r="AF72" s="144" t="s">
        <v>93</v>
      </c>
      <c r="AG72" s="151">
        <f>LN(AD72)</f>
        <v>4.6051701859880918</v>
      </c>
      <c r="AH72" s="151">
        <f t="shared" ref="AH72:AH73" si="107">LN(AE72)</f>
        <v>4.7874917427820458</v>
      </c>
      <c r="AI72" s="144" t="s">
        <v>28</v>
      </c>
      <c r="AJ72" s="147">
        <f>(AG72+AH72)/2</f>
        <v>4.6963309643850693</v>
      </c>
      <c r="AK72" s="144" t="s">
        <v>39</v>
      </c>
      <c r="AL72" s="147">
        <f>(AJ74-AJ72*AJ73)/(AJ75-AJ72^2)</f>
        <v>0.38000270389239071</v>
      </c>
      <c r="AN72" s="13">
        <v>112</v>
      </c>
      <c r="AO72" s="60">
        <f t="shared" si="102"/>
        <v>14.701190932124886</v>
      </c>
      <c r="AP72" s="13">
        <f t="shared" si="61"/>
        <v>112</v>
      </c>
      <c r="AQ72" s="60">
        <f t="shared" si="103"/>
        <v>15.87024770004658</v>
      </c>
      <c r="AR72" s="13">
        <f t="shared" si="63"/>
        <v>112</v>
      </c>
      <c r="AS72" s="60">
        <f t="shared" si="104"/>
        <v>16.842948315914263</v>
      </c>
      <c r="BA72" s="13">
        <v>99.5</v>
      </c>
      <c r="BB72" s="60">
        <f t="shared" si="52"/>
        <v>13.850102535682153</v>
      </c>
      <c r="BC72" s="13">
        <v>99.5</v>
      </c>
      <c r="BD72" s="8">
        <f t="shared" si="53"/>
        <v>14.902190304002547</v>
      </c>
      <c r="BE72" s="13">
        <v>99.5</v>
      </c>
      <c r="BF72" s="60">
        <f t="shared" si="54"/>
        <v>15.498458477244707</v>
      </c>
    </row>
    <row r="73" spans="1:58" ht="15.75" thickBot="1">
      <c r="A73" s="248"/>
      <c r="B73" s="24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145" t="s">
        <v>29</v>
      </c>
      <c r="O73" s="148">
        <f>(I71*I72+J71*J72+K71*K72+L71*L72+M71*M72)/5</f>
        <v>12.535669561667692</v>
      </c>
      <c r="P73" s="146" t="s">
        <v>40</v>
      </c>
      <c r="Q73" s="149">
        <f>EXP(Q72)</f>
        <v>1.6286305547673974</v>
      </c>
      <c r="R73" s="3"/>
      <c r="S73" s="3"/>
      <c r="T73" s="3"/>
      <c r="U73" s="3"/>
      <c r="W73" s="3"/>
      <c r="AB73" s="242"/>
      <c r="AC73" s="242"/>
      <c r="AD73" s="14">
        <v>14.081520000000001</v>
      </c>
      <c r="AE73" s="62">
        <v>15.091716000000002</v>
      </c>
      <c r="AF73" s="146" t="s">
        <v>94</v>
      </c>
      <c r="AG73" s="152">
        <f>LN(AD73)</f>
        <v>2.6448632994486783</v>
      </c>
      <c r="AH73" s="152">
        <f t="shared" si="107"/>
        <v>2.714145984008228</v>
      </c>
      <c r="AI73" s="145" t="s">
        <v>30</v>
      </c>
      <c r="AJ73" s="148">
        <f>(AG73+AH73)/2</f>
        <v>2.6795046417284532</v>
      </c>
      <c r="AK73" s="145" t="s">
        <v>95</v>
      </c>
      <c r="AL73" s="148">
        <f>AJ73-AJ72*AL72</f>
        <v>0.89488617688856786</v>
      </c>
      <c r="AN73" s="13">
        <v>114</v>
      </c>
      <c r="AO73" s="60">
        <f t="shared" si="102"/>
        <v>14.800402753134387</v>
      </c>
      <c r="AP73" s="13">
        <f t="shared" si="61"/>
        <v>114</v>
      </c>
      <c r="AQ73" s="60">
        <f t="shared" si="103"/>
        <v>15.9937243325128</v>
      </c>
      <c r="AR73" s="13">
        <f t="shared" si="63"/>
        <v>114</v>
      </c>
      <c r="AS73" s="60">
        <f t="shared" si="104"/>
        <v>16.956692048890513</v>
      </c>
      <c r="BA73" s="13">
        <v>101</v>
      </c>
      <c r="BB73" s="60">
        <f t="shared" si="52"/>
        <v>13.962100066221053</v>
      </c>
      <c r="BC73" s="13">
        <v>101</v>
      </c>
      <c r="BD73" s="8">
        <f t="shared" si="53"/>
        <v>15.024333400905624</v>
      </c>
      <c r="BE73" s="13">
        <v>101</v>
      </c>
      <c r="BF73" s="60">
        <f t="shared" si="54"/>
        <v>15.628208481446741</v>
      </c>
    </row>
    <row r="74" spans="1:58" ht="15.75" thickBot="1">
      <c r="A74" s="249"/>
      <c r="B74" s="24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145" t="s">
        <v>31</v>
      </c>
      <c r="O74" s="149">
        <f>(I71^2+J71^2+K71^2+L71^2+M71^2)/5</f>
        <v>20.90266285664816</v>
      </c>
      <c r="P74" s="3"/>
      <c r="Q74" s="3"/>
      <c r="R74" s="3"/>
      <c r="S74" s="3"/>
      <c r="T74" s="3"/>
      <c r="U74" s="3"/>
      <c r="W74" s="3"/>
      <c r="AB74" s="242"/>
      <c r="AC74" s="242"/>
      <c r="AD74" s="3"/>
      <c r="AE74" s="3"/>
      <c r="AF74" s="3"/>
      <c r="AG74" s="3"/>
      <c r="AH74" s="3"/>
      <c r="AI74" s="145" t="s">
        <v>29</v>
      </c>
      <c r="AJ74" s="148">
        <f>(AG72*AG73+AH72*AH73)/2</f>
        <v>12.586998549889795</v>
      </c>
      <c r="AK74" s="146" t="s">
        <v>40</v>
      </c>
      <c r="AL74" s="149">
        <f>EXP(AL73)</f>
        <v>2.4470572419409087</v>
      </c>
      <c r="AN74" s="13">
        <v>116</v>
      </c>
      <c r="AO74" s="60">
        <f t="shared" si="102"/>
        <v>14.898541208749869</v>
      </c>
      <c r="AP74" s="13">
        <f t="shared" si="61"/>
        <v>116</v>
      </c>
      <c r="AQ74" s="60">
        <f t="shared" si="103"/>
        <v>16.11598917204288</v>
      </c>
      <c r="AR74" s="13">
        <f t="shared" si="63"/>
        <v>116</v>
      </c>
      <c r="AS74" s="60">
        <f t="shared" si="104"/>
        <v>17.069205710758837</v>
      </c>
      <c r="BA74" s="13">
        <v>102.5</v>
      </c>
      <c r="BB74" s="60">
        <f t="shared" si="52"/>
        <v>14.073332160329704</v>
      </c>
      <c r="BC74" s="13">
        <v>102.5</v>
      </c>
      <c r="BD74" s="8">
        <f t="shared" si="53"/>
        <v>15.145654851236856</v>
      </c>
      <c r="BE74" s="13">
        <v>102.5</v>
      </c>
      <c r="BF74" s="60">
        <f t="shared" si="54"/>
        <v>15.757107934013513</v>
      </c>
    </row>
    <row r="75" spans="1:58" ht="15.75" thickBot="1">
      <c r="A75" s="250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2"/>
      <c r="N75" s="3"/>
      <c r="O75" s="3"/>
      <c r="P75" s="3"/>
      <c r="Q75" s="3"/>
      <c r="R75" s="3"/>
      <c r="S75" s="3"/>
      <c r="T75" s="3"/>
      <c r="U75" s="3"/>
      <c r="W75" s="3"/>
      <c r="AB75" s="242"/>
      <c r="AC75" s="243"/>
      <c r="AD75" s="3"/>
      <c r="AE75" s="3"/>
      <c r="AF75" s="3"/>
      <c r="AG75" s="3"/>
      <c r="AH75" s="3"/>
      <c r="AI75" s="146" t="s">
        <v>31</v>
      </c>
      <c r="AJ75" s="149">
        <f>(AG72^2+AH72^2)/2</f>
        <v>22.063834814559932</v>
      </c>
      <c r="AK75" s="3"/>
      <c r="AL75" s="3"/>
      <c r="AN75" s="13">
        <v>118</v>
      </c>
      <c r="AO75" s="60">
        <f t="shared" si="102"/>
        <v>14.995636122421535</v>
      </c>
      <c r="AP75" s="13">
        <f t="shared" si="61"/>
        <v>118</v>
      </c>
      <c r="AQ75" s="60">
        <f t="shared" si="103"/>
        <v>16.237074701584284</v>
      </c>
      <c r="AR75" s="13">
        <f t="shared" si="63"/>
        <v>118</v>
      </c>
      <c r="AS75" s="60">
        <f t="shared" si="104"/>
        <v>17.180523473620323</v>
      </c>
      <c r="BA75" s="13">
        <v>104</v>
      </c>
      <c r="BB75" s="60">
        <f t="shared" si="52"/>
        <v>14.183815137698298</v>
      </c>
      <c r="BC75" s="13">
        <v>104</v>
      </c>
      <c r="BD75" s="8">
        <f t="shared" si="53"/>
        <v>15.266172086734072</v>
      </c>
      <c r="BE75" s="13">
        <v>104</v>
      </c>
      <c r="BF75" s="60">
        <f t="shared" si="54"/>
        <v>15.885174737135364</v>
      </c>
    </row>
    <row r="76" spans="1:58">
      <c r="A76" s="247" t="s">
        <v>91</v>
      </c>
      <c r="B76" s="253">
        <v>-40</v>
      </c>
      <c r="C76" s="153">
        <v>60</v>
      </c>
      <c r="D76" s="154">
        <v>80</v>
      </c>
      <c r="E76" s="154">
        <v>100</v>
      </c>
      <c r="F76" s="155">
        <v>120</v>
      </c>
      <c r="G76" s="156">
        <v>140</v>
      </c>
      <c r="H76" s="157">
        <v>160</v>
      </c>
      <c r="I76" s="154" t="s">
        <v>93</v>
      </c>
      <c r="J76" s="154">
        <f t="shared" ref="J76:M77" si="108">LN(C76)</f>
        <v>4.0943445622221004</v>
      </c>
      <c r="K76" s="154">
        <f t="shared" si="108"/>
        <v>4.3820266346738812</v>
      </c>
      <c r="L76" s="154">
        <f t="shared" si="108"/>
        <v>4.6051701859880918</v>
      </c>
      <c r="M76" s="154">
        <f t="shared" si="108"/>
        <v>4.7874917427820458</v>
      </c>
      <c r="N76" s="156"/>
      <c r="O76" s="156"/>
      <c r="P76" s="153" t="s">
        <v>28</v>
      </c>
      <c r="Q76" s="155">
        <f>(J76+K76+L76+M76)/4</f>
        <v>4.4672582814165303</v>
      </c>
      <c r="R76" s="153" t="s">
        <v>39</v>
      </c>
      <c r="S76" s="147">
        <f>(Q78-Q76*Q77)/(Q79-Q76^2)</f>
        <v>0.46687414108942338</v>
      </c>
      <c r="T76" s="3"/>
      <c r="U76" s="3"/>
      <c r="W76" s="3"/>
      <c r="AB76" s="242"/>
      <c r="AC76" s="241">
        <v>20</v>
      </c>
      <c r="AD76" s="144">
        <v>100</v>
      </c>
      <c r="AE76" s="147">
        <v>120</v>
      </c>
      <c r="AF76" s="144" t="s">
        <v>93</v>
      </c>
      <c r="AG76" s="151">
        <f>LN(AD76)</f>
        <v>4.6051701859880918</v>
      </c>
      <c r="AH76" s="151">
        <f t="shared" ref="AH76:AH77" si="109">LN(AE76)</f>
        <v>4.7874917427820458</v>
      </c>
      <c r="AI76" s="144" t="s">
        <v>28</v>
      </c>
      <c r="AJ76" s="147">
        <f>(AG76+AH76)/2</f>
        <v>4.6963309643850693</v>
      </c>
      <c r="AK76" s="144" t="s">
        <v>39</v>
      </c>
      <c r="AL76" s="147">
        <f>(AJ78-AJ76*AJ77)/(AJ79-AJ76^2)</f>
        <v>0.4378790267883273</v>
      </c>
      <c r="AN76" s="13">
        <v>120</v>
      </c>
      <c r="AO76" s="60">
        <f>$AL$86*AN76^$AL$84</f>
        <v>15.091716000000245</v>
      </c>
      <c r="AP76" s="13">
        <f t="shared" si="61"/>
        <v>120</v>
      </c>
      <c r="AQ76" s="60">
        <f>$AL$90*AP76^$AL$88</f>
        <v>16.357012000000044</v>
      </c>
      <c r="AR76" s="13">
        <f t="shared" si="63"/>
        <v>120</v>
      </c>
      <c r="AS76" s="60">
        <f>$AL$94*AR76^$AL$92</f>
        <v>17.290678000000032</v>
      </c>
      <c r="BA76" s="13">
        <v>105.5</v>
      </c>
      <c r="BB76" s="60">
        <f t="shared" si="52"/>
        <v>14.293564740440955</v>
      </c>
      <c r="BC76" s="13">
        <v>105.5</v>
      </c>
      <c r="BD76" s="8">
        <f t="shared" si="53"/>
        <v>15.385901923995799</v>
      </c>
      <c r="BE76" s="13">
        <v>105.5</v>
      </c>
      <c r="BF76" s="60">
        <f t="shared" si="54"/>
        <v>16.012426164202779</v>
      </c>
    </row>
    <row r="77" spans="1:58" ht="15.75" thickBot="1">
      <c r="A77" s="248"/>
      <c r="B77" s="254"/>
      <c r="C77" s="158">
        <v>10.938688000000001</v>
      </c>
      <c r="D77" s="159">
        <v>12.714184000000001</v>
      </c>
      <c r="E77" s="159">
        <v>14.081520000000001</v>
      </c>
      <c r="F77" s="160">
        <v>15.091716000000002</v>
      </c>
      <c r="G77" s="156">
        <v>15.938648000000001</v>
      </c>
      <c r="H77" s="156"/>
      <c r="I77" s="159" t="s">
        <v>94</v>
      </c>
      <c r="J77" s="159">
        <f t="shared" si="108"/>
        <v>2.3923058629281755</v>
      </c>
      <c r="K77" s="159">
        <f t="shared" si="108"/>
        <v>2.5427182206448267</v>
      </c>
      <c r="L77" s="159">
        <f t="shared" si="108"/>
        <v>2.6448632994486783</v>
      </c>
      <c r="M77" s="159">
        <f t="shared" si="108"/>
        <v>2.714145984008228</v>
      </c>
      <c r="N77" s="156"/>
      <c r="O77" s="156"/>
      <c r="P77" s="161" t="s">
        <v>30</v>
      </c>
      <c r="Q77" s="162">
        <f>(J77+K77+L77+M77)/4</f>
        <v>2.5735083417574769</v>
      </c>
      <c r="R77" s="161" t="s">
        <v>95</v>
      </c>
      <c r="S77" s="148">
        <f>Q77-Q76*S76</f>
        <v>0.48786096859652073</v>
      </c>
      <c r="T77" s="3"/>
      <c r="U77" s="3"/>
      <c r="W77" s="3"/>
      <c r="AB77" s="242"/>
      <c r="AC77" s="242"/>
      <c r="AD77" s="14">
        <v>15.101920000000002</v>
      </c>
      <c r="AE77" s="62">
        <v>16.357011999999997</v>
      </c>
      <c r="AF77" s="146" t="s">
        <v>94</v>
      </c>
      <c r="AG77" s="152">
        <f>LN(AD77)</f>
        <v>2.7148218880555888</v>
      </c>
      <c r="AH77" s="152">
        <f t="shared" si="109"/>
        <v>2.7946566739069807</v>
      </c>
      <c r="AI77" s="145" t="s">
        <v>30</v>
      </c>
      <c r="AJ77" s="148">
        <f>(AG77+AH77)/2</f>
        <v>2.7547392809812847</v>
      </c>
      <c r="AK77" s="145" t="s">
        <v>95</v>
      </c>
      <c r="AL77" s="148">
        <f>AJ77-AJ76*AL76</f>
        <v>0.69831444882046423</v>
      </c>
      <c r="AN77" s="13">
        <v>122</v>
      </c>
      <c r="AO77" s="60">
        <f t="shared" ref="AO77:AO86" si="110">$AL$86*AN77^$AL$84</f>
        <v>15.180333440234062</v>
      </c>
      <c r="AP77" s="13">
        <f t="shared" si="61"/>
        <v>122</v>
      </c>
      <c r="AQ77" s="60">
        <f t="shared" ref="AQ77:AQ86" si="111">$AL$90*AP77^$AL$88</f>
        <v>16.455185200988492</v>
      </c>
      <c r="AR77" s="13">
        <f t="shared" si="63"/>
        <v>122</v>
      </c>
      <c r="AS77" s="60">
        <f t="shared" ref="AS77:AS85" si="112">$AL$94*AR77^$AL$92</f>
        <v>17.4030239984119</v>
      </c>
      <c r="BA77" s="13">
        <v>107</v>
      </c>
      <c r="BB77" s="60">
        <f t="shared" si="52"/>
        <v>14.402596161433816</v>
      </c>
      <c r="BC77" s="13">
        <v>107</v>
      </c>
      <c r="BD77" s="8">
        <f t="shared" si="53"/>
        <v>15.504860594600409</v>
      </c>
      <c r="BE77" s="13">
        <v>107</v>
      </c>
      <c r="BF77" s="60">
        <f t="shared" si="54"/>
        <v>16.138878890493231</v>
      </c>
    </row>
    <row r="78" spans="1:58" ht="15.75" thickBot="1">
      <c r="A78" s="248"/>
      <c r="B78" s="255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6"/>
      <c r="P78" s="161" t="s">
        <v>29</v>
      </c>
      <c r="Q78" s="162">
        <f>(J76*J77+K76*K77+L76*L77+M76*M77)/4</f>
        <v>11.527795142041956</v>
      </c>
      <c r="R78" s="158" t="s">
        <v>40</v>
      </c>
      <c r="S78" s="149">
        <f>EXP(S77)</f>
        <v>1.6288283759343043</v>
      </c>
      <c r="T78" s="3"/>
      <c r="U78" s="3"/>
      <c r="W78" s="3"/>
      <c r="AB78" s="242"/>
      <c r="AC78" s="242"/>
      <c r="AD78" s="3"/>
      <c r="AE78" s="3"/>
      <c r="AF78" s="3"/>
      <c r="AG78" s="3"/>
      <c r="AH78" s="3"/>
      <c r="AI78" s="145" t="s">
        <v>29</v>
      </c>
      <c r="AJ78" s="148">
        <f>(AG76*AG77+AH76*AH77)/2</f>
        <v>12.940806284690954</v>
      </c>
      <c r="AK78" s="146" t="s">
        <v>40</v>
      </c>
      <c r="AL78" s="149">
        <f>EXP(AL77)</f>
        <v>2.0103612832316125</v>
      </c>
      <c r="AN78" s="13">
        <v>124</v>
      </c>
      <c r="AO78" s="60">
        <f t="shared" si="110"/>
        <v>15.268017598020464</v>
      </c>
      <c r="AP78" s="13">
        <f t="shared" si="61"/>
        <v>124</v>
      </c>
      <c r="AQ78" s="60">
        <f t="shared" si="111"/>
        <v>16.552336932096996</v>
      </c>
      <c r="AR78" s="13">
        <f t="shared" si="63"/>
        <v>124</v>
      </c>
      <c r="AS78" s="60">
        <f t="shared" si="112"/>
        <v>17.514255384999078</v>
      </c>
      <c r="BA78" s="13">
        <v>108.5</v>
      </c>
      <c r="BB78" s="60">
        <f t="shared" si="52"/>
        <v>14.510924070886135</v>
      </c>
      <c r="BC78" s="13">
        <v>108.5</v>
      </c>
      <c r="BD78" s="8">
        <f t="shared" si="53"/>
        <v>15.623063773350189</v>
      </c>
      <c r="BE78" s="13">
        <v>108.5</v>
      </c>
      <c r="BF78" s="60">
        <f t="shared" si="54"/>
        <v>16.264549021952469</v>
      </c>
    </row>
    <row r="79" spans="1:58" ht="15.75" thickBot="1">
      <c r="A79" s="248"/>
      <c r="B79" s="256"/>
      <c r="C79" s="156"/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  <c r="O79" s="156"/>
      <c r="P79" s="158" t="s">
        <v>31</v>
      </c>
      <c r="Q79" s="160">
        <f>(J76^2+K76^2+L76^2+M76^2)/4</f>
        <v>20.023371112577212</v>
      </c>
      <c r="R79" s="156"/>
      <c r="S79" s="3"/>
      <c r="T79" s="3"/>
      <c r="U79" s="3"/>
      <c r="W79" s="3"/>
      <c r="AB79" s="242"/>
      <c r="AC79" s="243"/>
      <c r="AD79" s="3"/>
      <c r="AE79" s="3"/>
      <c r="AF79" s="3"/>
      <c r="AG79" s="3"/>
      <c r="AH79" s="3"/>
      <c r="AI79" s="146" t="s">
        <v>31</v>
      </c>
      <c r="AJ79" s="149">
        <f>(AG76^2+AH76^2)/2</f>
        <v>22.063834814559932</v>
      </c>
      <c r="AK79" s="3"/>
      <c r="AL79" s="3"/>
      <c r="AN79" s="13">
        <v>126</v>
      </c>
      <c r="AO79" s="60">
        <f t="shared" si="110"/>
        <v>15.354793120989326</v>
      </c>
      <c r="AP79" s="13">
        <f t="shared" si="61"/>
        <v>126</v>
      </c>
      <c r="AQ79" s="60">
        <f t="shared" si="111"/>
        <v>16.648494043510713</v>
      </c>
      <c r="AR79" s="13">
        <f t="shared" si="63"/>
        <v>126</v>
      </c>
      <c r="AS79" s="60">
        <f t="shared" si="112"/>
        <v>17.624400932200299</v>
      </c>
      <c r="BA79" s="13">
        <v>110</v>
      </c>
      <c r="BB79" s="60">
        <f t="shared" si="52"/>
        <v>14.618562641277318</v>
      </c>
      <c r="BC79" s="13">
        <v>110</v>
      </c>
      <c r="BD79" s="8">
        <f t="shared" si="53"/>
        <v>15.740526604781158</v>
      </c>
      <c r="BE79" s="13">
        <v>110</v>
      </c>
      <c r="BF79" s="60">
        <f t="shared" si="54"/>
        <v>16.389452122213118</v>
      </c>
    </row>
    <row r="80" spans="1:58">
      <c r="A80" s="248"/>
      <c r="B80" s="253">
        <v>20</v>
      </c>
      <c r="C80" s="153">
        <v>60</v>
      </c>
      <c r="D80" s="154">
        <v>80</v>
      </c>
      <c r="E80" s="154">
        <v>100</v>
      </c>
      <c r="F80" s="155">
        <v>120</v>
      </c>
      <c r="G80" s="156">
        <v>140</v>
      </c>
      <c r="H80" s="157">
        <v>160</v>
      </c>
      <c r="I80" s="154" t="s">
        <v>93</v>
      </c>
      <c r="J80" s="154">
        <f t="shared" ref="J80:M81" si="113">LN(C80)</f>
        <v>4.0943445622221004</v>
      </c>
      <c r="K80" s="154">
        <f t="shared" si="113"/>
        <v>4.3820266346738812</v>
      </c>
      <c r="L80" s="154">
        <f t="shared" si="113"/>
        <v>4.6051701859880918</v>
      </c>
      <c r="M80" s="154">
        <f t="shared" si="113"/>
        <v>4.7874917427820458</v>
      </c>
      <c r="N80" s="156"/>
      <c r="O80" s="156"/>
      <c r="P80" s="153" t="s">
        <v>28</v>
      </c>
      <c r="Q80" s="155">
        <f>(J80+K80+L80+M80)/4</f>
        <v>4.4672582814165303</v>
      </c>
      <c r="R80" s="153" t="s">
        <v>39</v>
      </c>
      <c r="S80" s="147">
        <f>(Q82-Q80*Q81)/(Q83-Q80^2)</f>
        <v>0.49278774875000431</v>
      </c>
      <c r="T80" s="3"/>
      <c r="U80" s="3"/>
      <c r="W80" s="3"/>
      <c r="AB80" s="242"/>
      <c r="AC80" s="241">
        <v>50</v>
      </c>
      <c r="AD80" s="144">
        <v>100</v>
      </c>
      <c r="AE80" s="147">
        <v>120</v>
      </c>
      <c r="AF80" s="144" t="s">
        <v>93</v>
      </c>
      <c r="AG80" s="151">
        <f>LN(AD80)</f>
        <v>4.6051701859880918</v>
      </c>
      <c r="AH80" s="151">
        <f t="shared" ref="AH80:AH81" si="114">LN(AE80)</f>
        <v>4.7874917427820458</v>
      </c>
      <c r="AI80" s="144" t="s">
        <v>28</v>
      </c>
      <c r="AJ80" s="147">
        <f>(AG80+AH80)/2</f>
        <v>4.6963309643850693</v>
      </c>
      <c r="AK80" s="144" t="s">
        <v>39</v>
      </c>
      <c r="AL80" s="147">
        <f>(AJ82-AJ80*AJ81)/(AJ83-AJ80^2)</f>
        <v>0.38026306409826871</v>
      </c>
      <c r="AN80" s="13">
        <v>128</v>
      </c>
      <c r="AO80" s="60">
        <f t="shared" si="110"/>
        <v>15.440683626820411</v>
      </c>
      <c r="AP80" s="13">
        <f t="shared" si="61"/>
        <v>128</v>
      </c>
      <c r="AQ80" s="60">
        <f t="shared" si="111"/>
        <v>16.74368226667201</v>
      </c>
      <c r="AR80" s="13">
        <f t="shared" si="63"/>
        <v>128</v>
      </c>
      <c r="AS80" s="60">
        <f t="shared" si="112"/>
        <v>17.733488226878872</v>
      </c>
      <c r="BA80" s="13">
        <v>111.5</v>
      </c>
      <c r="BB80" s="60">
        <f t="shared" si="52"/>
        <v>14.725525570781382</v>
      </c>
      <c r="BC80" s="13">
        <v>111.5</v>
      </c>
      <c r="BD80" s="8">
        <f t="shared" si="53"/>
        <v>15.857263728067521</v>
      </c>
      <c r="BE80" s="13">
        <v>111.5</v>
      </c>
      <c r="BF80" s="60">
        <f t="shared" si="54"/>
        <v>16.513603237981105</v>
      </c>
    </row>
    <row r="81" spans="1:58" ht="15.75" thickBot="1">
      <c r="A81" s="248"/>
      <c r="B81" s="254"/>
      <c r="C81" s="158">
        <v>11.622356</v>
      </c>
      <c r="D81" s="159">
        <v>13.622340000000001</v>
      </c>
      <c r="E81" s="159">
        <v>15.101920000000002</v>
      </c>
      <c r="F81" s="160">
        <v>16.357011999999997</v>
      </c>
      <c r="G81" s="156">
        <v>17.295780000000001</v>
      </c>
      <c r="H81" s="156"/>
      <c r="I81" s="159" t="s">
        <v>94</v>
      </c>
      <c r="J81" s="159">
        <f t="shared" si="113"/>
        <v>2.4529304847446101</v>
      </c>
      <c r="K81" s="159">
        <f t="shared" si="113"/>
        <v>2.6117110921317779</v>
      </c>
      <c r="L81" s="159">
        <f t="shared" si="113"/>
        <v>2.7148218880555888</v>
      </c>
      <c r="M81" s="159">
        <f t="shared" si="113"/>
        <v>2.7946566739069807</v>
      </c>
      <c r="N81" s="156"/>
      <c r="O81" s="156"/>
      <c r="P81" s="161" t="s">
        <v>30</v>
      </c>
      <c r="Q81" s="162">
        <f>(J81+K81+L81+M81)/4</f>
        <v>2.6435300347097392</v>
      </c>
      <c r="R81" s="161" t="s">
        <v>95</v>
      </c>
      <c r="S81" s="148">
        <f>Q81-Q80*S80</f>
        <v>0.4421198831256743</v>
      </c>
      <c r="T81" s="3"/>
      <c r="U81" s="3"/>
      <c r="W81" s="3"/>
      <c r="AB81" s="242"/>
      <c r="AC81" s="242"/>
      <c r="AD81" s="14">
        <v>16.132524000000004</v>
      </c>
      <c r="AE81" s="62">
        <v>17.290678</v>
      </c>
      <c r="AF81" s="146" t="s">
        <v>94</v>
      </c>
      <c r="AG81" s="152">
        <f>LN(AD81)</f>
        <v>2.7808373585069002</v>
      </c>
      <c r="AH81" s="152">
        <f t="shared" si="114"/>
        <v>2.8501675123445338</v>
      </c>
      <c r="AI81" s="145" t="s">
        <v>30</v>
      </c>
      <c r="AJ81" s="148">
        <f>(AG81+AH81)/2</f>
        <v>2.8155024354257172</v>
      </c>
      <c r="AK81" s="145" t="s">
        <v>95</v>
      </c>
      <c r="AL81" s="148">
        <f>AJ81-AJ80*AL80</f>
        <v>1.0296612328890735</v>
      </c>
      <c r="AN81" s="13">
        <v>130</v>
      </c>
      <c r="AO81" s="60">
        <f t="shared" si="110"/>
        <v>15.525711761628168</v>
      </c>
      <c r="AP81" s="13">
        <f t="shared" si="61"/>
        <v>130</v>
      </c>
      <c r="AQ81" s="60">
        <f t="shared" si="111"/>
        <v>16.837926277566499</v>
      </c>
      <c r="AR81" s="13">
        <f t="shared" si="63"/>
        <v>130</v>
      </c>
      <c r="AS81" s="60">
        <f t="shared" si="112"/>
        <v>17.841543736855712</v>
      </c>
      <c r="BA81" s="13">
        <v>113</v>
      </c>
      <c r="BB81" s="60">
        <f t="shared" si="52"/>
        <v>14.831826105289538</v>
      </c>
      <c r="BC81" s="13">
        <v>113</v>
      </c>
      <c r="BD81" s="8">
        <f t="shared" si="53"/>
        <v>15.973289300437971</v>
      </c>
      <c r="BE81" s="13">
        <v>113</v>
      </c>
      <c r="BF81" s="60">
        <f t="shared" si="54"/>
        <v>16.637016922909112</v>
      </c>
    </row>
    <row r="82" spans="1:58" ht="15.75" thickBot="1">
      <c r="A82" s="248"/>
      <c r="B82" s="255"/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61" t="s">
        <v>29</v>
      </c>
      <c r="Q82" s="162">
        <f>(J80*J81+K80*K81+L80*L81+M80*M81)/4</f>
        <v>11.842335682224871</v>
      </c>
      <c r="R82" s="158" t="s">
        <v>40</v>
      </c>
      <c r="S82" s="149">
        <f>EXP(S81)</f>
        <v>1.5560022676685545</v>
      </c>
      <c r="T82" s="3"/>
      <c r="U82" s="3"/>
      <c r="W82" s="3"/>
      <c r="AB82" s="242"/>
      <c r="AC82" s="242"/>
      <c r="AD82" s="3"/>
      <c r="AE82" s="3"/>
      <c r="AF82" s="3"/>
      <c r="AG82" s="3"/>
      <c r="AH82" s="3"/>
      <c r="AI82" s="145" t="s">
        <v>29</v>
      </c>
      <c r="AJ82" s="148">
        <f>(AG80*AG81+AH80*AH81)/2</f>
        <v>13.225691363186478</v>
      </c>
      <c r="AK82" s="146" t="s">
        <v>40</v>
      </c>
      <c r="AL82" s="149">
        <f>EXP(AL81)</f>
        <v>2.8001170864301717</v>
      </c>
      <c r="AN82" s="13">
        <v>132</v>
      </c>
      <c r="AO82" s="60">
        <f t="shared" si="110"/>
        <v>15.609899254193488</v>
      </c>
      <c r="AP82" s="13">
        <f t="shared" si="61"/>
        <v>132</v>
      </c>
      <c r="AQ82" s="60">
        <f t="shared" si="111"/>
        <v>16.931249755514809</v>
      </c>
      <c r="AR82" s="13">
        <f t="shared" si="63"/>
        <v>132</v>
      </c>
      <c r="AS82" s="60">
        <f t="shared" si="112"/>
        <v>17.948592872746588</v>
      </c>
      <c r="BA82" s="13">
        <v>114.5</v>
      </c>
      <c r="BB82" s="60">
        <f t="shared" si="52"/>
        <v>14.93747705913222</v>
      </c>
      <c r="BC82" s="13">
        <v>114.5</v>
      </c>
      <c r="BD82" s="8">
        <f t="shared" si="53"/>
        <v>16.088617019211362</v>
      </c>
      <c r="BE82" s="13">
        <v>114.5</v>
      </c>
      <c r="BF82" s="60">
        <f t="shared" si="54"/>
        <v>16.759707260065955</v>
      </c>
    </row>
    <row r="83" spans="1:58" ht="15.75" thickBot="1">
      <c r="A83" s="248"/>
      <c r="B83" s="256"/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56"/>
      <c r="P83" s="158" t="s">
        <v>31</v>
      </c>
      <c r="Q83" s="160">
        <f>(J80^2+K80^2+L80^2+M80^2)/4</f>
        <v>20.023371112577212</v>
      </c>
      <c r="R83" s="156"/>
      <c r="S83" s="3"/>
      <c r="T83" s="165"/>
      <c r="U83" s="165"/>
      <c r="W83" s="3"/>
      <c r="AB83" s="243"/>
      <c r="AC83" s="243"/>
      <c r="AD83" s="3"/>
      <c r="AE83" s="3"/>
      <c r="AF83" s="3"/>
      <c r="AG83" s="3"/>
      <c r="AH83" s="3"/>
      <c r="AI83" s="146" t="s">
        <v>31</v>
      </c>
      <c r="AJ83" s="149">
        <f>(AG80^2+AH80^2)/2</f>
        <v>22.063834814559932</v>
      </c>
      <c r="AK83" s="3"/>
      <c r="AL83" s="3"/>
      <c r="AN83" s="13">
        <v>134</v>
      </c>
      <c r="AO83" s="60">
        <f t="shared" si="110"/>
        <v>15.693266966396076</v>
      </c>
      <c r="AP83" s="13">
        <f t="shared" si="61"/>
        <v>134</v>
      </c>
      <c r="AQ83" s="60">
        <f t="shared" si="111"/>
        <v>17.023675437852113</v>
      </c>
      <c r="AR83" s="13">
        <f t="shared" si="63"/>
        <v>134</v>
      </c>
      <c r="AS83" s="60">
        <f t="shared" si="112"/>
        <v>18.054660045501102</v>
      </c>
      <c r="BA83" s="13">
        <v>116</v>
      </c>
      <c r="BB83" s="60">
        <f t="shared" si="52"/>
        <v>15.042490834593488</v>
      </c>
      <c r="BC83" s="13">
        <v>116</v>
      </c>
      <c r="BD83" s="8">
        <f t="shared" si="53"/>
        <v>16.20326014255026</v>
      </c>
      <c r="BE83" s="13">
        <v>116</v>
      </c>
      <c r="BF83" s="60">
        <f t="shared" si="54"/>
        <v>16.881687883101865</v>
      </c>
    </row>
    <row r="84" spans="1:58">
      <c r="A84" s="248"/>
      <c r="B84" s="245">
        <v>50</v>
      </c>
      <c r="C84" s="144">
        <v>60</v>
      </c>
      <c r="D84" s="151">
        <v>80</v>
      </c>
      <c r="E84" s="151">
        <v>100</v>
      </c>
      <c r="F84" s="151">
        <v>120</v>
      </c>
      <c r="G84" s="151">
        <v>140</v>
      </c>
      <c r="H84" s="147">
        <v>160</v>
      </c>
      <c r="I84" s="151" t="s">
        <v>93</v>
      </c>
      <c r="J84" s="151">
        <f t="shared" ref="J84:O85" si="115">LN(C84)</f>
        <v>4.0943445622221004</v>
      </c>
      <c r="K84" s="151">
        <f t="shared" si="115"/>
        <v>4.3820266346738812</v>
      </c>
      <c r="L84" s="151">
        <f t="shared" si="115"/>
        <v>4.6051701859880918</v>
      </c>
      <c r="M84" s="151">
        <f t="shared" si="115"/>
        <v>4.7874917427820458</v>
      </c>
      <c r="N84" s="151">
        <f t="shared" si="115"/>
        <v>4.9416424226093039</v>
      </c>
      <c r="O84" s="151">
        <f t="shared" si="115"/>
        <v>5.0751738152338266</v>
      </c>
      <c r="P84" s="144" t="s">
        <v>28</v>
      </c>
      <c r="Q84" s="147">
        <f>(J84+K84+L84+M84+N84+O84)/6</f>
        <v>4.6476415605848755</v>
      </c>
      <c r="R84" s="144" t="s">
        <v>39</v>
      </c>
      <c r="S84" s="147" t="s">
        <v>97</v>
      </c>
      <c r="W84" s="3"/>
      <c r="AB84" s="241" t="s">
        <v>121</v>
      </c>
      <c r="AC84" s="241">
        <v>-40</v>
      </c>
      <c r="AD84" s="144">
        <v>120</v>
      </c>
      <c r="AE84" s="147">
        <v>140</v>
      </c>
      <c r="AF84" s="144" t="s">
        <v>93</v>
      </c>
      <c r="AG84" s="151">
        <f>LN(AD84)</f>
        <v>4.7874917427820458</v>
      </c>
      <c r="AH84" s="151">
        <f t="shared" ref="AH84:AH85" si="116">LN(AE84)</f>
        <v>4.9416424226093039</v>
      </c>
      <c r="AI84" s="144" t="s">
        <v>28</v>
      </c>
      <c r="AJ84" s="147">
        <f>(AG84+AH84)/2</f>
        <v>4.8645670826956753</v>
      </c>
      <c r="AK84" s="144" t="s">
        <v>39</v>
      </c>
      <c r="AL84" s="147">
        <f>(AJ86-AJ84*AJ85)/(AJ87-AJ84^2)</f>
        <v>0.35420452086222187</v>
      </c>
      <c r="AN84" s="13">
        <v>136</v>
      </c>
      <c r="AO84" s="60">
        <f t="shared" si="110"/>
        <v>15.77583494016608</v>
      </c>
      <c r="AP84" s="13">
        <f t="shared" si="61"/>
        <v>136</v>
      </c>
      <c r="AQ84" s="60">
        <f t="shared" si="111"/>
        <v>17.115225170839935</v>
      </c>
      <c r="AR84" s="13">
        <f t="shared" si="63"/>
        <v>136</v>
      </c>
      <c r="AS84" s="60">
        <f t="shared" si="112"/>
        <v>18.159768720001427</v>
      </c>
      <c r="BA84" s="13">
        <v>117.5</v>
      </c>
      <c r="BB84" s="60">
        <f t="shared" ref="BB84:BB99" si="117">$BC$4*BA84^$BC$2</f>
        <v>15.146879440302705</v>
      </c>
      <c r="BC84" s="13">
        <v>117.5</v>
      </c>
      <c r="BD84" s="8">
        <f t="shared" ref="BD84:BD99" si="118">$BC$8*BC84^$BC$6</f>
        <v>16.317231509022275</v>
      </c>
      <c r="BE84" s="13">
        <v>117.5</v>
      </c>
      <c r="BF84" s="60">
        <f t="shared" ref="BF84:BF125" si="119">$BC$12*BE84^$BC$10</f>
        <v>17.00297199620109</v>
      </c>
    </row>
    <row r="85" spans="1:58" ht="15.75" thickBot="1">
      <c r="A85" s="248"/>
      <c r="B85" s="246"/>
      <c r="C85" s="146">
        <v>12.142760000000001</v>
      </c>
      <c r="D85" s="152">
        <v>14.18356</v>
      </c>
      <c r="E85" s="152">
        <v>16.132524000000004</v>
      </c>
      <c r="F85" s="152">
        <v>17.290678</v>
      </c>
      <c r="G85" s="152">
        <v>18.3672</v>
      </c>
      <c r="H85" s="62">
        <v>19.632496000000003</v>
      </c>
      <c r="I85" s="152" t="s">
        <v>94</v>
      </c>
      <c r="J85" s="152">
        <f t="shared" si="115"/>
        <v>2.4967331074030032</v>
      </c>
      <c r="K85" s="152">
        <f t="shared" si="115"/>
        <v>2.6520835474221656</v>
      </c>
      <c r="L85" s="152">
        <f t="shared" si="115"/>
        <v>2.7808373585069002</v>
      </c>
      <c r="M85" s="152">
        <f t="shared" si="115"/>
        <v>2.8501675123445338</v>
      </c>
      <c r="N85" s="152">
        <f t="shared" si="115"/>
        <v>2.910566465181684</v>
      </c>
      <c r="O85" s="152">
        <f t="shared" si="115"/>
        <v>2.9771861525230801</v>
      </c>
      <c r="P85" s="145" t="s">
        <v>30</v>
      </c>
      <c r="Q85" s="148">
        <f>(J85+K85+L85+M85+N85+O85)/6</f>
        <v>2.7779290238968941</v>
      </c>
      <c r="R85" s="145" t="s">
        <v>95</v>
      </c>
      <c r="S85" s="148" t="e">
        <f>Q85-Q84*S84</f>
        <v>#VALUE!</v>
      </c>
      <c r="W85" s="3"/>
      <c r="AB85" s="242"/>
      <c r="AC85" s="242"/>
      <c r="AD85" s="14">
        <v>15.091716000000002</v>
      </c>
      <c r="AE85" s="62">
        <v>15.938648000000001</v>
      </c>
      <c r="AF85" s="146" t="s">
        <v>94</v>
      </c>
      <c r="AG85" s="152">
        <f>LN(AD85)</f>
        <v>2.714145984008228</v>
      </c>
      <c r="AH85" s="152">
        <f t="shared" si="116"/>
        <v>2.7687468516970593</v>
      </c>
      <c r="AI85" s="145" t="s">
        <v>30</v>
      </c>
      <c r="AJ85" s="148">
        <f>(AG85+AH85)/2</f>
        <v>2.7414464178526439</v>
      </c>
      <c r="AK85" s="145" t="s">
        <v>95</v>
      </c>
      <c r="AL85" s="148">
        <f>AJ85-AJ84*AL84</f>
        <v>1.0183947651242857</v>
      </c>
      <c r="AN85" s="13">
        <v>138</v>
      </c>
      <c r="AO85" s="60">
        <f t="shared" si="110"/>
        <v>15.857622441242688</v>
      </c>
      <c r="AP85" s="13">
        <f t="shared" si="61"/>
        <v>138</v>
      </c>
      <c r="AQ85" s="60">
        <f t="shared" si="111"/>
        <v>17.205919957121242</v>
      </c>
      <c r="AR85" s="13">
        <f t="shared" si="63"/>
        <v>138</v>
      </c>
      <c r="AS85" s="60">
        <f t="shared" si="112"/>
        <v>18.263941465044425</v>
      </c>
      <c r="BA85" s="13">
        <v>119</v>
      </c>
      <c r="BB85" s="60">
        <f t="shared" si="117"/>
        <v>15.250654508581613</v>
      </c>
      <c r="BC85" s="13">
        <v>119</v>
      </c>
      <c r="BD85" s="8">
        <f t="shared" si="118"/>
        <v>16.430543556052235</v>
      </c>
      <c r="BE85" s="13">
        <v>119</v>
      </c>
      <c r="BF85" s="60">
        <f t="shared" si="119"/>
        <v>17.123572392905956</v>
      </c>
    </row>
    <row r="86" spans="1:58" ht="15.75" thickBot="1">
      <c r="A86" s="248"/>
      <c r="B86" s="24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145" t="s">
        <v>29</v>
      </c>
      <c r="Q86" s="148">
        <f>(J84*J85+K84*K85+L84*L85+M84*M85+N84*N85+O84*O85)/6</f>
        <v>12.964680835450059</v>
      </c>
      <c r="R86" s="146" t="s">
        <v>40</v>
      </c>
      <c r="S86" s="149" t="e">
        <f>EXP(S85)</f>
        <v>#VALUE!</v>
      </c>
      <c r="W86" s="3"/>
      <c r="AB86" s="242"/>
      <c r="AC86" s="242"/>
      <c r="AD86" s="3"/>
      <c r="AE86" s="3"/>
      <c r="AF86" s="3"/>
      <c r="AG86" s="3"/>
      <c r="AH86" s="3"/>
      <c r="AI86" s="145" t="s">
        <v>29</v>
      </c>
      <c r="AJ86" s="148">
        <f>(AG84*AG85+AH84*AH85)/2</f>
        <v>13.338054193478291</v>
      </c>
      <c r="AK86" s="146" t="s">
        <v>40</v>
      </c>
      <c r="AL86" s="149">
        <f>EXP(AL85)</f>
        <v>2.7687467060560147</v>
      </c>
      <c r="AN86" s="13">
        <v>140</v>
      </c>
      <c r="AO86" s="60">
        <f t="shared" si="110"/>
        <v>15.938647999999752</v>
      </c>
      <c r="AP86" s="13">
        <f t="shared" si="61"/>
        <v>140</v>
      </c>
      <c r="AQ86" s="60">
        <f t="shared" si="111"/>
        <v>17.295779999999947</v>
      </c>
      <c r="AR86" s="13">
        <f t="shared" si="63"/>
        <v>140</v>
      </c>
      <c r="AS86" s="60">
        <f>$AL$106*AR86^$AL$104</f>
        <v>18.367200000000359</v>
      </c>
      <c r="BA86" s="13">
        <v>120.5</v>
      </c>
      <c r="BB86" s="60">
        <f t="shared" si="117"/>
        <v>15.353827311818543</v>
      </c>
      <c r="BC86" s="13">
        <v>120.5</v>
      </c>
      <c r="BD86" s="8">
        <f t="shared" si="118"/>
        <v>16.543208337341088</v>
      </c>
      <c r="BE86" s="13">
        <v>120.5</v>
      </c>
      <c r="BF86" s="60">
        <f t="shared" si="119"/>
        <v>17.243501473889502</v>
      </c>
    </row>
    <row r="87" spans="1:58" ht="15.75" thickBot="1">
      <c r="A87" s="248"/>
      <c r="B87" s="24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145" t="s">
        <v>31</v>
      </c>
      <c r="Q87" s="148">
        <f>(J84^2+K84^2+L84^2+M84^2+N84^2+O84^2)/6</f>
        <v>21.711783923012646</v>
      </c>
      <c r="R87" s="3"/>
      <c r="S87" s="3"/>
      <c r="W87" s="3"/>
      <c r="AB87" s="242"/>
      <c r="AC87" s="243"/>
      <c r="AD87" s="3"/>
      <c r="AE87" s="3"/>
      <c r="AF87" s="3"/>
      <c r="AG87" s="3"/>
      <c r="AH87" s="3"/>
      <c r="AI87" s="146" t="s">
        <v>31</v>
      </c>
      <c r="AJ87" s="149">
        <f>(AG84^2+AH84^2)/2</f>
        <v>23.66995351006911</v>
      </c>
      <c r="AK87" s="3"/>
      <c r="AL87" s="3"/>
      <c r="AN87" s="13">
        <v>142</v>
      </c>
      <c r="AO87" s="184"/>
      <c r="AP87" s="13">
        <f t="shared" si="61"/>
        <v>142</v>
      </c>
      <c r="AQ87" s="184"/>
      <c r="AR87" s="13">
        <f t="shared" si="63"/>
        <v>142</v>
      </c>
      <c r="AS87" s="60">
        <f t="shared" ref="AS87:AS95" si="120">$AL$106*AR87^$AL$104</f>
        <v>18.497642149575768</v>
      </c>
      <c r="BA87" s="13">
        <v>122</v>
      </c>
      <c r="BB87" s="60">
        <f t="shared" si="117"/>
        <v>15.456408777935714</v>
      </c>
      <c r="BC87" s="13">
        <v>122</v>
      </c>
      <c r="BD87" s="8">
        <f t="shared" si="118"/>
        <v>16.655237539321565</v>
      </c>
      <c r="BE87" s="13">
        <v>122</v>
      </c>
      <c r="BF87" s="60">
        <f t="shared" si="119"/>
        <v>17.362771263747849</v>
      </c>
    </row>
    <row r="88" spans="1:58" ht="15.75" thickBot="1">
      <c r="A88" s="163"/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W88" s="3"/>
      <c r="AB88" s="242"/>
      <c r="AC88" s="241">
        <v>20</v>
      </c>
      <c r="AD88" s="144">
        <v>120</v>
      </c>
      <c r="AE88" s="147">
        <v>140</v>
      </c>
      <c r="AF88" s="144" t="s">
        <v>93</v>
      </c>
      <c r="AG88" s="151">
        <f>LN(AD88)</f>
        <v>4.7874917427820458</v>
      </c>
      <c r="AH88" s="151">
        <f t="shared" ref="AH88:AH89" si="121">LN(AE88)</f>
        <v>4.9416424226093039</v>
      </c>
      <c r="AI88" s="144" t="s">
        <v>28</v>
      </c>
      <c r="AJ88" s="147">
        <f>(AG88+AH88)/2</f>
        <v>4.8645670826956753</v>
      </c>
      <c r="AK88" s="144" t="s">
        <v>39</v>
      </c>
      <c r="AL88" s="147">
        <f>(AJ90-AJ88*AJ89)/(AJ91-AJ88^2)</f>
        <v>0.36202154455321406</v>
      </c>
      <c r="AN88" s="13">
        <v>144</v>
      </c>
      <c r="AO88" s="184"/>
      <c r="AP88" s="13">
        <f t="shared" si="61"/>
        <v>144</v>
      </c>
      <c r="AQ88" s="184"/>
      <c r="AR88" s="13">
        <f t="shared" si="63"/>
        <v>144</v>
      </c>
      <c r="AS88" s="60">
        <f t="shared" si="120"/>
        <v>18.627166886840271</v>
      </c>
      <c r="BA88" s="13">
        <v>123.5</v>
      </c>
      <c r="BB88" s="60">
        <f t="shared" si="117"/>
        <v>15.55840950501028</v>
      </c>
      <c r="BC88" s="13">
        <v>123.5</v>
      </c>
      <c r="BD88" s="8">
        <f t="shared" si="118"/>
        <v>16.766642496714983</v>
      </c>
      <c r="BE88" s="13">
        <v>123.5</v>
      </c>
      <c r="BF88" s="60">
        <f t="shared" si="119"/>
        <v>17.481393426877609</v>
      </c>
    </row>
    <row r="89" spans="1:58" ht="15.75" thickBot="1">
      <c r="A89" s="248" t="s">
        <v>96</v>
      </c>
      <c r="B89" s="245">
        <v>50</v>
      </c>
      <c r="C89" s="151">
        <v>160</v>
      </c>
      <c r="D89" s="147">
        <v>180</v>
      </c>
      <c r="E89" s="151" t="s">
        <v>93</v>
      </c>
      <c r="F89" s="151">
        <f>LN(C89)</f>
        <v>5.0751738152338266</v>
      </c>
      <c r="G89" s="151">
        <f>LN(D89)</f>
        <v>5.1929568508902104</v>
      </c>
      <c r="H89" s="144" t="s">
        <v>28</v>
      </c>
      <c r="I89" s="147">
        <f>(F89+G89)/2</f>
        <v>5.1340653330620185</v>
      </c>
      <c r="J89" s="144" t="s">
        <v>39</v>
      </c>
      <c r="K89" s="147">
        <f>(I91-I89*I90)/(I92-I89^2)</f>
        <v>0.57987663654080623</v>
      </c>
      <c r="M89" s="3"/>
      <c r="N89" s="3"/>
      <c r="O89" s="3"/>
      <c r="P89" s="3"/>
      <c r="Q89" s="3"/>
      <c r="W89" s="3"/>
      <c r="AB89" s="242"/>
      <c r="AC89" s="242"/>
      <c r="AD89" s="14">
        <v>16.357011999999997</v>
      </c>
      <c r="AE89" s="62">
        <v>17.295780000000001</v>
      </c>
      <c r="AF89" s="146" t="s">
        <v>94</v>
      </c>
      <c r="AG89" s="152">
        <f>LN(AD89)</f>
        <v>2.7946566739069807</v>
      </c>
      <c r="AH89" s="152">
        <f t="shared" si="121"/>
        <v>2.8504625411119786</v>
      </c>
      <c r="AI89" s="145" t="s">
        <v>30</v>
      </c>
      <c r="AJ89" s="148">
        <f>(AG89+AH89)/2</f>
        <v>2.8225596075094797</v>
      </c>
      <c r="AK89" s="145" t="s">
        <v>95</v>
      </c>
      <c r="AL89" s="148">
        <f>AJ89-AJ88*AL88</f>
        <v>1.0614815186492688</v>
      </c>
      <c r="AN89" s="13">
        <v>146</v>
      </c>
      <c r="AO89" s="184"/>
      <c r="AP89" s="13">
        <f t="shared" si="61"/>
        <v>146</v>
      </c>
      <c r="AQ89" s="184"/>
      <c r="AR89" s="13">
        <f t="shared" si="63"/>
        <v>146</v>
      </c>
      <c r="AS89" s="60">
        <f t="shared" si="120"/>
        <v>18.755793273309173</v>
      </c>
      <c r="BA89" s="13">
        <v>125</v>
      </c>
      <c r="BB89" s="60">
        <f t="shared" si="117"/>
        <v>15.65983977510526</v>
      </c>
      <c r="BC89" s="13">
        <v>125</v>
      </c>
      <c r="BD89" s="8">
        <f t="shared" si="118"/>
        <v>16.877434207248665</v>
      </c>
      <c r="BE89" s="13">
        <v>125</v>
      </c>
      <c r="BF89" s="60">
        <f t="shared" si="119"/>
        <v>17.599379282498827</v>
      </c>
    </row>
    <row r="90" spans="1:58" ht="15.75" thickBot="1">
      <c r="A90" s="248"/>
      <c r="B90" s="246"/>
      <c r="C90" s="152">
        <v>19.632496000000003</v>
      </c>
      <c r="D90" s="149">
        <v>21.020240000000001</v>
      </c>
      <c r="E90" s="152" t="s">
        <v>94</v>
      </c>
      <c r="F90" s="152">
        <f>LN(C90)</f>
        <v>2.9771861525230801</v>
      </c>
      <c r="G90" s="152">
        <f>LN(D90)</f>
        <v>3.0454857830810549</v>
      </c>
      <c r="H90" s="145" t="s">
        <v>30</v>
      </c>
      <c r="I90" s="148">
        <f>(F90+G90)/2</f>
        <v>3.0113359678020677</v>
      </c>
      <c r="J90" s="145" t="s">
        <v>95</v>
      </c>
      <c r="K90" s="148">
        <f>I90-I89*K89</f>
        <v>3.4211430685310074E-2</v>
      </c>
      <c r="W90" s="3"/>
      <c r="AB90" s="242"/>
      <c r="AC90" s="242"/>
      <c r="AD90" s="3"/>
      <c r="AE90" s="3"/>
      <c r="AF90" s="3"/>
      <c r="AG90" s="3"/>
      <c r="AH90" s="3"/>
      <c r="AI90" s="145" t="s">
        <v>29</v>
      </c>
      <c r="AJ90" s="148">
        <f>(AG88*AG89+AH88*AH89)/2</f>
        <v>13.732681183729039</v>
      </c>
      <c r="AK90" s="146" t="s">
        <v>40</v>
      </c>
      <c r="AL90" s="149">
        <f>EXP(AL89)</f>
        <v>2.8906503709264006</v>
      </c>
      <c r="AN90" s="13">
        <v>148</v>
      </c>
      <c r="AO90" s="184"/>
      <c r="AP90" s="13">
        <f t="shared" si="61"/>
        <v>148</v>
      </c>
      <c r="AQ90" s="184"/>
      <c r="AR90" s="13">
        <f t="shared" si="63"/>
        <v>148</v>
      </c>
      <c r="AS90" s="60">
        <f t="shared" si="120"/>
        <v>18.883539719600435</v>
      </c>
      <c r="BA90" s="13">
        <v>126.5</v>
      </c>
      <c r="BB90" s="60">
        <f t="shared" si="117"/>
        <v>15.760709567361843</v>
      </c>
      <c r="BC90" s="13">
        <v>126.5</v>
      </c>
      <c r="BD90" s="8">
        <f t="shared" si="118"/>
        <v>16.98762334558868</v>
      </c>
      <c r="BE90" s="13">
        <v>126.5</v>
      </c>
      <c r="BF90" s="60">
        <f t="shared" si="119"/>
        <v>17.716739818878938</v>
      </c>
    </row>
    <row r="91" spans="1:58" ht="15.75" thickBot="1">
      <c r="A91" s="248"/>
      <c r="B91" s="242"/>
      <c r="C91" s="3"/>
      <c r="D91" s="3"/>
      <c r="E91" s="3"/>
      <c r="F91" s="3"/>
      <c r="G91" s="3"/>
      <c r="H91" s="145" t="s">
        <v>29</v>
      </c>
      <c r="I91" s="148">
        <f>(F89*F90+G89*G90)/2</f>
        <v>15.46240673295069</v>
      </c>
      <c r="J91" s="146" t="s">
        <v>40</v>
      </c>
      <c r="K91" s="149">
        <f>EXP(K90)</f>
        <v>1.0348033727866435</v>
      </c>
      <c r="L91" s="3"/>
      <c r="W91" s="3"/>
      <c r="AB91" s="242"/>
      <c r="AC91" s="243"/>
      <c r="AD91" s="3"/>
      <c r="AE91" s="3"/>
      <c r="AF91" s="3"/>
      <c r="AG91" s="3"/>
      <c r="AH91" s="3"/>
      <c r="AI91" s="146" t="s">
        <v>31</v>
      </c>
      <c r="AJ91" s="149">
        <f>(AG88^2+AH88^2)/2</f>
        <v>23.66995351006911</v>
      </c>
      <c r="AK91" s="3"/>
      <c r="AL91" s="3"/>
      <c r="AN91" s="13">
        <v>150</v>
      </c>
      <c r="AO91" s="184"/>
      <c r="AP91" s="13">
        <f t="shared" ref="AP91:AP106" si="122">AN91</f>
        <v>150</v>
      </c>
      <c r="AQ91" s="184"/>
      <c r="AR91" s="13">
        <f t="shared" ref="AR91:AR106" si="123">AN91</f>
        <v>150</v>
      </c>
      <c r="AS91" s="60">
        <f t="shared" si="120"/>
        <v>19.010424016129281</v>
      </c>
      <c r="BA91" s="13">
        <v>128</v>
      </c>
      <c r="BB91" s="60">
        <f t="shared" si="117"/>
        <v>15.861028570400935</v>
      </c>
      <c r="BC91" s="13">
        <v>128</v>
      </c>
      <c r="BD91" s="8">
        <f t="shared" si="118"/>
        <v>17.097220276538586</v>
      </c>
      <c r="BE91" s="13">
        <v>128</v>
      </c>
      <c r="BF91" s="60">
        <f t="shared" si="119"/>
        <v>17.833485706809313</v>
      </c>
    </row>
    <row r="92" spans="1:58" ht="15.75" thickBot="1">
      <c r="A92" s="248"/>
      <c r="B92" s="242"/>
      <c r="C92" s="3"/>
      <c r="D92" s="3"/>
      <c r="E92" s="3"/>
      <c r="F92" s="3"/>
      <c r="G92" s="3"/>
      <c r="H92" s="145" t="s">
        <v>31</v>
      </c>
      <c r="I92" s="149">
        <f>(F89^2+G89^2)/2</f>
        <v>26.362095055021321</v>
      </c>
      <c r="J92" s="3"/>
      <c r="K92" s="3"/>
      <c r="L92" s="3"/>
      <c r="W92" s="3"/>
      <c r="AB92" s="242"/>
      <c r="AC92" s="241">
        <v>50</v>
      </c>
      <c r="AD92" s="144">
        <v>120</v>
      </c>
      <c r="AE92" s="147">
        <v>140</v>
      </c>
      <c r="AF92" s="144" t="s">
        <v>93</v>
      </c>
      <c r="AG92" s="151">
        <f>LN(AD92)</f>
        <v>4.7874917427820458</v>
      </c>
      <c r="AH92" s="151">
        <f t="shared" ref="AH92:AH93" si="124">LN(AE92)</f>
        <v>4.9416424226093039</v>
      </c>
      <c r="AI92" s="144" t="s">
        <v>28</v>
      </c>
      <c r="AJ92" s="147">
        <f>(AG92+AH92)/2</f>
        <v>4.8645670826956753</v>
      </c>
      <c r="AK92" s="144" t="s">
        <v>39</v>
      </c>
      <c r="AL92" s="147">
        <f>(AJ94-AJ92*AJ93)/(AJ95-AJ92^2)</f>
        <v>0.39181762224357164</v>
      </c>
      <c r="AN92" s="13">
        <v>152</v>
      </c>
      <c r="AO92" s="184"/>
      <c r="AP92" s="13">
        <f t="shared" si="122"/>
        <v>152</v>
      </c>
      <c r="AQ92" s="184"/>
      <c r="AR92" s="13">
        <f t="shared" si="123"/>
        <v>152</v>
      </c>
      <c r="AS92" s="60">
        <f t="shared" si="120"/>
        <v>19.136463361966577</v>
      </c>
      <c r="BA92" s="13">
        <v>129.5</v>
      </c>
      <c r="BB92" s="60">
        <f t="shared" si="117"/>
        <v>15.960806194077858</v>
      </c>
      <c r="BC92" s="13">
        <v>129.5</v>
      </c>
      <c r="BD92" s="8">
        <f t="shared" si="118"/>
        <v>17.20623506755091</v>
      </c>
      <c r="BE92" s="13">
        <v>129.5</v>
      </c>
      <c r="BF92" s="60">
        <f t="shared" si="119"/>
        <v>17.949627312381924</v>
      </c>
    </row>
    <row r="93" spans="1:58" ht="15.75" thickBot="1">
      <c r="A93" s="248"/>
      <c r="W93" s="3"/>
      <c r="AB93" s="242"/>
      <c r="AC93" s="242"/>
      <c r="AD93" s="14">
        <v>17.290678</v>
      </c>
      <c r="AE93" s="62">
        <v>18.3672</v>
      </c>
      <c r="AF93" s="146" t="s">
        <v>94</v>
      </c>
      <c r="AG93" s="152">
        <f>LN(AD93)</f>
        <v>2.8501675123445338</v>
      </c>
      <c r="AH93" s="152">
        <f t="shared" si="124"/>
        <v>2.910566465181684</v>
      </c>
      <c r="AI93" s="145" t="s">
        <v>30</v>
      </c>
      <c r="AJ93" s="148">
        <f>(AG93+AH93)/2</f>
        <v>2.8803669887631091</v>
      </c>
      <c r="AK93" s="145" t="s">
        <v>95</v>
      </c>
      <c r="AL93" s="148">
        <f>AJ93-AJ92*AL92</f>
        <v>0.97434388117694182</v>
      </c>
      <c r="AN93" s="13">
        <v>154</v>
      </c>
      <c r="AO93" s="184"/>
      <c r="AP93" s="13">
        <f t="shared" si="122"/>
        <v>154</v>
      </c>
      <c r="AQ93" s="184"/>
      <c r="AR93" s="13">
        <f t="shared" si="123"/>
        <v>154</v>
      </c>
      <c r="AS93" s="60">
        <f t="shared" si="120"/>
        <v>19.261674391993484</v>
      </c>
      <c r="BA93" s="13">
        <v>131</v>
      </c>
      <c r="BB93" s="60">
        <f t="shared" si="117"/>
        <v>16.060051580631214</v>
      </c>
      <c r="BC93" s="13">
        <v>131</v>
      </c>
      <c r="BD93" s="8">
        <f t="shared" si="118"/>
        <v>17.314677500594758</v>
      </c>
      <c r="BE93" s="13">
        <v>131</v>
      </c>
      <c r="BF93" s="60">
        <f t="shared" si="119"/>
        <v>18.065174709110043</v>
      </c>
    </row>
    <row r="94" spans="1:58" ht="15.75" thickBot="1">
      <c r="A94" s="248"/>
      <c r="W94" s="3"/>
      <c r="AB94" s="242"/>
      <c r="AC94" s="242"/>
      <c r="AD94" s="3"/>
      <c r="AE94" s="3"/>
      <c r="AF94" s="3"/>
      <c r="AG94" s="3"/>
      <c r="AH94" s="3"/>
      <c r="AI94" s="145" t="s">
        <v>29</v>
      </c>
      <c r="AJ94" s="148">
        <f>(AG92*AG93+AH92*AH93)/2</f>
        <v>14.014066074530458</v>
      </c>
      <c r="AK94" s="146" t="s">
        <v>40</v>
      </c>
      <c r="AL94" s="149">
        <f>EXP(AL93)</f>
        <v>2.6494283008006394</v>
      </c>
      <c r="AN94" s="13">
        <v>156</v>
      </c>
      <c r="AO94" s="184"/>
      <c r="AP94" s="13">
        <f t="shared" si="122"/>
        <v>156</v>
      </c>
      <c r="AQ94" s="184"/>
      <c r="AR94" s="13">
        <f t="shared" si="123"/>
        <v>156</v>
      </c>
      <c r="AS94" s="60">
        <f t="shared" si="120"/>
        <v>19.386073202473717</v>
      </c>
      <c r="BA94" s="13">
        <v>132.5</v>
      </c>
      <c r="BB94" s="60">
        <f t="shared" si="117"/>
        <v>16.158773615263609</v>
      </c>
      <c r="BC94" s="13">
        <v>132.5</v>
      </c>
      <c r="BD94" s="8">
        <f t="shared" si="118"/>
        <v>17.422557083419679</v>
      </c>
      <c r="BE94" s="13">
        <v>132.5</v>
      </c>
      <c r="BF94" s="60">
        <f t="shared" si="119"/>
        <v>18.180137689433977</v>
      </c>
    </row>
    <row r="95" spans="1:58" ht="15.75" thickBot="1">
      <c r="A95" s="248"/>
      <c r="W95" s="3"/>
      <c r="AB95" s="243"/>
      <c r="AC95" s="243"/>
      <c r="AD95" s="3"/>
      <c r="AE95" s="3"/>
      <c r="AF95" s="3"/>
      <c r="AG95" s="3"/>
      <c r="AH95" s="3"/>
      <c r="AI95" s="146" t="s">
        <v>31</v>
      </c>
      <c r="AJ95" s="149">
        <f>(AG92^2+AH92^2)/2</f>
        <v>23.66995351006911</v>
      </c>
      <c r="AK95" s="3"/>
      <c r="AL95" s="3"/>
      <c r="AN95" s="13">
        <v>158</v>
      </c>
      <c r="AO95" s="184"/>
      <c r="AP95" s="13">
        <f t="shared" si="122"/>
        <v>158</v>
      </c>
      <c r="AQ95" s="184"/>
      <c r="AR95" s="13">
        <f t="shared" si="123"/>
        <v>158</v>
      </c>
      <c r="AS95" s="60">
        <f t="shared" si="120"/>
        <v>19.509675375154686</v>
      </c>
      <c r="BA95" s="13">
        <v>134</v>
      </c>
      <c r="BB95" s="60">
        <f t="shared" si="117"/>
        <v>16.256980936189212</v>
      </c>
      <c r="BC95" s="13">
        <v>134</v>
      </c>
      <c r="BD95" s="8">
        <f t="shared" si="118"/>
        <v>17.529883060252764</v>
      </c>
      <c r="BE95" s="13">
        <v>134</v>
      </c>
      <c r="BF95" s="60">
        <f t="shared" si="119"/>
        <v>18.29452577564934</v>
      </c>
    </row>
    <row r="96" spans="1:58">
      <c r="A96" s="248"/>
      <c r="W96" s="3"/>
      <c r="AB96" s="241" t="s">
        <v>122</v>
      </c>
      <c r="AC96" s="241">
        <v>-40</v>
      </c>
      <c r="AD96" s="177"/>
      <c r="AE96" s="178"/>
      <c r="AF96" s="177"/>
      <c r="AG96" s="179"/>
      <c r="AH96" s="179"/>
      <c r="AI96" s="177"/>
      <c r="AJ96" s="178"/>
      <c r="AK96" s="177"/>
      <c r="AL96" s="178"/>
      <c r="AN96" s="13">
        <v>160</v>
      </c>
      <c r="AO96" s="184"/>
      <c r="AP96" s="13">
        <f t="shared" si="122"/>
        <v>160</v>
      </c>
      <c r="AQ96" s="184"/>
      <c r="AR96" s="13">
        <f t="shared" si="123"/>
        <v>160</v>
      </c>
      <c r="AS96" s="60">
        <f>$AL$118*AR96^$AL$116</f>
        <v>19.632495999999854</v>
      </c>
      <c r="BA96" s="13">
        <v>135.5</v>
      </c>
      <c r="BB96" s="60">
        <f t="shared" si="117"/>
        <v>16.354681944180808</v>
      </c>
      <c r="BC96" s="13">
        <v>135.5</v>
      </c>
      <c r="BD96" s="8">
        <f t="shared" si="118"/>
        <v>17.636664421963847</v>
      </c>
      <c r="BE96" s="13">
        <v>135.5</v>
      </c>
      <c r="BF96" s="60">
        <f t="shared" si="119"/>
        <v>18.408348230293235</v>
      </c>
    </row>
    <row r="97" spans="1:58" ht="15.75" thickBot="1">
      <c r="A97" s="248"/>
      <c r="W97" s="3"/>
      <c r="AB97" s="242"/>
      <c r="AC97" s="242"/>
      <c r="AD97" s="180"/>
      <c r="AE97" s="181"/>
      <c r="AF97" s="180"/>
      <c r="AG97" s="182"/>
      <c r="AH97" s="182"/>
      <c r="AI97" s="183"/>
      <c r="AJ97" s="184"/>
      <c r="AK97" s="183"/>
      <c r="AL97" s="184"/>
      <c r="AN97" s="13">
        <v>162</v>
      </c>
      <c r="AO97" s="184"/>
      <c r="AP97" s="13">
        <f t="shared" si="122"/>
        <v>162</v>
      </c>
      <c r="AQ97" s="184"/>
      <c r="AR97" s="13">
        <f t="shared" si="123"/>
        <v>162</v>
      </c>
      <c r="AS97" s="60">
        <f t="shared" ref="AS97:AS106" si="125">$AL$118*AR97^$AL$116</f>
        <v>19.774429855092553</v>
      </c>
      <c r="BA97" s="13">
        <v>137</v>
      </c>
      <c r="BB97" s="60">
        <f t="shared" si="117"/>
        <v>16.451884811646455</v>
      </c>
      <c r="BC97" s="13">
        <v>137</v>
      </c>
      <c r="BD97" s="8">
        <f t="shared" si="118"/>
        <v>17.742909915730507</v>
      </c>
      <c r="BE97" s="13">
        <v>137</v>
      </c>
      <c r="BF97" s="60">
        <f t="shared" si="119"/>
        <v>18.521614066020792</v>
      </c>
    </row>
    <row r="98" spans="1:58" ht="15.75" thickBot="1">
      <c r="A98" s="248"/>
      <c r="W98" s="3"/>
      <c r="AB98" s="242"/>
      <c r="AC98" s="242"/>
      <c r="AD98" s="125"/>
      <c r="AE98" s="125"/>
      <c r="AF98" s="125"/>
      <c r="AG98" s="125"/>
      <c r="AH98" s="125"/>
      <c r="AI98" s="183"/>
      <c r="AJ98" s="184"/>
      <c r="AK98" s="180"/>
      <c r="AL98" s="181"/>
      <c r="AN98" s="13">
        <v>164</v>
      </c>
      <c r="AO98" s="184"/>
      <c r="AP98" s="13">
        <f t="shared" si="122"/>
        <v>164</v>
      </c>
      <c r="AQ98" s="184"/>
      <c r="AR98" s="13">
        <f t="shared" si="123"/>
        <v>164</v>
      </c>
      <c r="AS98" s="60">
        <f t="shared" si="125"/>
        <v>19.915629424034741</v>
      </c>
      <c r="BA98" s="13">
        <v>138.5</v>
      </c>
      <c r="BB98" s="60">
        <f t="shared" si="117"/>
        <v>16.548597491263802</v>
      </c>
      <c r="BC98" s="13">
        <v>138.5</v>
      </c>
      <c r="BD98" s="8">
        <f t="shared" si="118"/>
        <v>17.848628054232929</v>
      </c>
      <c r="BE98" s="13">
        <v>138.5</v>
      </c>
      <c r="BF98" s="60">
        <f t="shared" si="119"/>
        <v>18.634332055002378</v>
      </c>
    </row>
    <row r="99" spans="1:58" ht="15.75" thickBot="1">
      <c r="A99" s="248"/>
      <c r="W99" s="3"/>
      <c r="AB99" s="242"/>
      <c r="AC99" s="243"/>
      <c r="AD99" s="125"/>
      <c r="AE99" s="125"/>
      <c r="AF99" s="125"/>
      <c r="AG99" s="125"/>
      <c r="AH99" s="125"/>
      <c r="AI99" s="180"/>
      <c r="AJ99" s="181"/>
      <c r="AK99" s="125"/>
      <c r="AL99" s="125"/>
      <c r="AN99" s="13">
        <v>166</v>
      </c>
      <c r="AO99" s="184"/>
      <c r="AP99" s="13">
        <f t="shared" si="122"/>
        <v>166</v>
      </c>
      <c r="AQ99" s="184"/>
      <c r="AR99" s="13">
        <f t="shared" si="123"/>
        <v>166</v>
      </c>
      <c r="AS99" s="60">
        <f t="shared" si="125"/>
        <v>20.056107391727654</v>
      </c>
      <c r="BA99" s="14">
        <v>140</v>
      </c>
      <c r="BB99" s="62">
        <f t="shared" si="117"/>
        <v>16.64482772419818</v>
      </c>
      <c r="BC99" s="14">
        <v>140</v>
      </c>
      <c r="BD99" s="61">
        <f t="shared" si="118"/>
        <v>17.953827124406171</v>
      </c>
      <c r="BE99" s="13">
        <v>140</v>
      </c>
      <c r="BF99" s="60">
        <f t="shared" si="119"/>
        <v>18.746510737869695</v>
      </c>
    </row>
    <row r="100" spans="1:58">
      <c r="A100" s="248"/>
      <c r="W100" s="3"/>
      <c r="AB100" s="242"/>
      <c r="AC100" s="241">
        <v>20</v>
      </c>
      <c r="AD100" s="177"/>
      <c r="AE100" s="178"/>
      <c r="AF100" s="177"/>
      <c r="AG100" s="179"/>
      <c r="AH100" s="179"/>
      <c r="AI100" s="177"/>
      <c r="AJ100" s="178"/>
      <c r="AK100" s="177"/>
      <c r="AL100" s="178"/>
      <c r="AN100" s="13">
        <v>168</v>
      </c>
      <c r="AO100" s="184"/>
      <c r="AP100" s="13">
        <f t="shared" si="122"/>
        <v>168</v>
      </c>
      <c r="AQ100" s="184"/>
      <c r="AR100" s="13">
        <f t="shared" si="123"/>
        <v>168</v>
      </c>
      <c r="AS100" s="60">
        <f t="shared" si="125"/>
        <v>20.195876074114128</v>
      </c>
      <c r="BE100" s="13">
        <v>141.5</v>
      </c>
      <c r="BF100" s="60">
        <f t="shared" si="119"/>
        <v>18.858158432237012</v>
      </c>
    </row>
    <row r="101" spans="1:58" ht="15.75" thickBot="1">
      <c r="W101" s="3"/>
      <c r="AB101" s="242"/>
      <c r="AC101" s="242"/>
      <c r="AD101" s="180"/>
      <c r="AE101" s="181"/>
      <c r="AF101" s="180"/>
      <c r="AG101" s="182"/>
      <c r="AH101" s="182"/>
      <c r="AI101" s="183"/>
      <c r="AJ101" s="184"/>
      <c r="AK101" s="183"/>
      <c r="AL101" s="184"/>
      <c r="AN101" s="13">
        <v>170</v>
      </c>
      <c r="AO101" s="184"/>
      <c r="AP101" s="13">
        <f t="shared" si="122"/>
        <v>170</v>
      </c>
      <c r="AQ101" s="184"/>
      <c r="AR101" s="13">
        <f t="shared" si="123"/>
        <v>170</v>
      </c>
      <c r="AS101" s="60">
        <f t="shared" si="125"/>
        <v>20.334947433164803</v>
      </c>
      <c r="BE101" s="13">
        <v>143</v>
      </c>
      <c r="BF101" s="60">
        <f t="shared" si="119"/>
        <v>18.969283240821916</v>
      </c>
    </row>
    <row r="102" spans="1:58" ht="15.75" thickBot="1">
      <c r="W102" s="3"/>
      <c r="AB102" s="242"/>
      <c r="AC102" s="242"/>
      <c r="AD102" s="125"/>
      <c r="AE102" s="125"/>
      <c r="AF102" s="125"/>
      <c r="AG102" s="125"/>
      <c r="AH102" s="125"/>
      <c r="AI102" s="183"/>
      <c r="AJ102" s="184"/>
      <c r="AK102" s="180"/>
      <c r="AL102" s="181"/>
      <c r="AN102" s="13">
        <v>172</v>
      </c>
      <c r="AO102" s="184"/>
      <c r="AP102" s="13">
        <f t="shared" si="122"/>
        <v>172</v>
      </c>
      <c r="AQ102" s="184"/>
      <c r="AR102" s="13">
        <f t="shared" si="123"/>
        <v>172</v>
      </c>
      <c r="AS102" s="60">
        <f t="shared" si="125"/>
        <v>20.473333091086818</v>
      </c>
      <c r="BE102" s="13">
        <v>144.5</v>
      </c>
      <c r="BF102" s="60">
        <f t="shared" si="119"/>
        <v>19.079893059188581</v>
      </c>
    </row>
    <row r="103" spans="1:58" ht="15.75" thickBot="1">
      <c r="W103" s="3"/>
      <c r="AB103" s="242"/>
      <c r="AC103" s="243"/>
      <c r="AD103" s="125"/>
      <c r="AE103" s="125"/>
      <c r="AF103" s="125"/>
      <c r="AG103" s="125"/>
      <c r="AH103" s="125"/>
      <c r="AI103" s="180"/>
      <c r="AJ103" s="181"/>
      <c r="AK103" s="125"/>
      <c r="AL103" s="125"/>
      <c r="AN103" s="13">
        <v>174</v>
      </c>
      <c r="AO103" s="184"/>
      <c r="AP103" s="13">
        <f t="shared" si="122"/>
        <v>174</v>
      </c>
      <c r="AQ103" s="184"/>
      <c r="AR103" s="13">
        <f t="shared" si="123"/>
        <v>174</v>
      </c>
      <c r="AS103" s="60">
        <f t="shared" si="125"/>
        <v>20.611044343804053</v>
      </c>
      <c r="BE103" s="13">
        <v>146</v>
      </c>
      <c r="BF103" s="60">
        <f t="shared" si="119"/>
        <v>19.189995583134579</v>
      </c>
    </row>
    <row r="104" spans="1:58">
      <c r="W104" s="3"/>
      <c r="AB104" s="242"/>
      <c r="AC104" s="241">
        <v>50</v>
      </c>
      <c r="AD104" s="144">
        <v>140</v>
      </c>
      <c r="AE104" s="147">
        <v>160</v>
      </c>
      <c r="AF104" s="144" t="s">
        <v>93</v>
      </c>
      <c r="AG104" s="151">
        <f>LN(AD104)</f>
        <v>4.9416424226093039</v>
      </c>
      <c r="AH104" s="151">
        <f t="shared" ref="AH104:AH105" si="126">LN(AE104)</f>
        <v>5.0751738152338266</v>
      </c>
      <c r="AI104" s="144" t="s">
        <v>28</v>
      </c>
      <c r="AJ104" s="147">
        <f>(AG104+AH104)/2</f>
        <v>5.0084081189215652</v>
      </c>
      <c r="AK104" s="144" t="s">
        <v>39</v>
      </c>
      <c r="AL104" s="147">
        <f>(AJ106-AJ104*AJ105)/(AJ107-AJ104^2)</f>
        <v>0.49890655696735448</v>
      </c>
      <c r="AN104" s="13">
        <v>176</v>
      </c>
      <c r="AO104" s="184"/>
      <c r="AP104" s="13">
        <f t="shared" si="122"/>
        <v>176</v>
      </c>
      <c r="AQ104" s="184"/>
      <c r="AR104" s="13">
        <f t="shared" si="123"/>
        <v>176</v>
      </c>
      <c r="AS104" s="60">
        <f t="shared" si="125"/>
        <v>20.7480921737539</v>
      </c>
      <c r="BE104" s="13">
        <v>147.5</v>
      </c>
      <c r="BF104" s="60">
        <f t="shared" si="119"/>
        <v>19.299598315741349</v>
      </c>
    </row>
    <row r="105" spans="1:58" ht="15.75" thickBot="1">
      <c r="W105" s="3"/>
      <c r="AB105" s="242"/>
      <c r="AC105" s="242"/>
      <c r="AD105" s="14">
        <v>18.3672</v>
      </c>
      <c r="AE105" s="62">
        <v>19.632496000000003</v>
      </c>
      <c r="AF105" s="146" t="s">
        <v>94</v>
      </c>
      <c r="AG105" s="152">
        <f>LN(AD105)</f>
        <v>2.910566465181684</v>
      </c>
      <c r="AH105" s="152">
        <f t="shared" si="126"/>
        <v>2.9771861525230801</v>
      </c>
      <c r="AI105" s="145" t="s">
        <v>30</v>
      </c>
      <c r="AJ105" s="148">
        <f>(AG105+AH105)/2</f>
        <v>2.9438763088523823</v>
      </c>
      <c r="AK105" s="145" t="s">
        <v>95</v>
      </c>
      <c r="AL105" s="148">
        <f>AJ105-AJ104*AL104</f>
        <v>0.44514865835387951</v>
      </c>
      <c r="AN105" s="13">
        <v>178</v>
      </c>
      <c r="AO105" s="184"/>
      <c r="AP105" s="13">
        <f t="shared" si="122"/>
        <v>178</v>
      </c>
      <c r="AQ105" s="184"/>
      <c r="AR105" s="13">
        <f t="shared" si="123"/>
        <v>178</v>
      </c>
      <c r="AS105" s="60">
        <f t="shared" si="125"/>
        <v>20.88448726204296</v>
      </c>
      <c r="BE105" s="13">
        <v>149</v>
      </c>
      <c r="BF105" s="60">
        <f t="shared" si="119"/>
        <v>19.408708574106775</v>
      </c>
    </row>
    <row r="106" spans="1:58" ht="15.75" thickBot="1">
      <c r="W106" s="3"/>
      <c r="AB106" s="242"/>
      <c r="AC106" s="242"/>
      <c r="AD106" s="3"/>
      <c r="AE106" s="3"/>
      <c r="AF106" s="3"/>
      <c r="AG106" s="3"/>
      <c r="AH106" s="3"/>
      <c r="AI106" s="145" t="s">
        <v>29</v>
      </c>
      <c r="AJ106" s="148">
        <f>(AG104*AG105+AH104*AH105)/2</f>
        <v>14.746357961263847</v>
      </c>
      <c r="AK106" s="146" t="s">
        <v>40</v>
      </c>
      <c r="AL106" s="149">
        <f>EXP(AL105)</f>
        <v>1.560722192980154</v>
      </c>
      <c r="AN106" s="14">
        <v>180</v>
      </c>
      <c r="AO106" s="181"/>
      <c r="AP106" s="14">
        <f t="shared" si="122"/>
        <v>180</v>
      </c>
      <c r="AQ106" s="181"/>
      <c r="AR106" s="14">
        <f t="shared" si="123"/>
        <v>180</v>
      </c>
      <c r="AS106" s="62">
        <f t="shared" si="125"/>
        <v>21.020240000000161</v>
      </c>
      <c r="BE106" s="13">
        <v>150.5</v>
      </c>
      <c r="BF106" s="60">
        <f t="shared" si="119"/>
        <v>19.517333495777276</v>
      </c>
    </row>
    <row r="107" spans="1:58" ht="15.75" thickBot="1">
      <c r="W107" s="3"/>
      <c r="AB107" s="243"/>
      <c r="AC107" s="243"/>
      <c r="AD107" s="3"/>
      <c r="AE107" s="3"/>
      <c r="AF107" s="3"/>
      <c r="AG107" s="3"/>
      <c r="AH107" s="3"/>
      <c r="AI107" s="146" t="s">
        <v>31</v>
      </c>
      <c r="AJ107" s="149">
        <f>(AG104^2+AH104^2)/2</f>
        <v>25.088609543883514</v>
      </c>
      <c r="AK107" s="3"/>
      <c r="AL107" s="3"/>
      <c r="BE107" s="13">
        <v>152</v>
      </c>
      <c r="BF107" s="60">
        <f t="shared" si="119"/>
        <v>19.625480044895745</v>
      </c>
    </row>
    <row r="108" spans="1:58">
      <c r="AB108" s="241" t="s">
        <v>96</v>
      </c>
      <c r="AC108" s="241">
        <v>-40</v>
      </c>
      <c r="AD108" s="177"/>
      <c r="AE108" s="178"/>
      <c r="AF108" s="177"/>
      <c r="AG108" s="179"/>
      <c r="AH108" s="179"/>
      <c r="AI108" s="177"/>
      <c r="AJ108" s="178"/>
      <c r="AK108" s="177"/>
      <c r="AL108" s="178"/>
      <c r="BE108" s="13">
        <v>153.5</v>
      </c>
      <c r="BF108" s="60">
        <f t="shared" si="119"/>
        <v>19.733155018080385</v>
      </c>
    </row>
    <row r="109" spans="1:58" ht="15.75" thickBot="1">
      <c r="AB109" s="242"/>
      <c r="AC109" s="242"/>
      <c r="AD109" s="180"/>
      <c r="AE109" s="181"/>
      <c r="AF109" s="180"/>
      <c r="AG109" s="182"/>
      <c r="AH109" s="182"/>
      <c r="AI109" s="183"/>
      <c r="AJ109" s="184"/>
      <c r="AK109" s="183"/>
      <c r="AL109" s="184"/>
      <c r="BE109" s="13">
        <v>155</v>
      </c>
      <c r="BF109" s="60">
        <f t="shared" si="119"/>
        <v>19.84036505004903</v>
      </c>
    </row>
    <row r="110" spans="1:58" ht="15.75" thickBot="1">
      <c r="AB110" s="242"/>
      <c r="AC110" s="242"/>
      <c r="AD110" s="125"/>
      <c r="AE110" s="125"/>
      <c r="AF110" s="125"/>
      <c r="AG110" s="125"/>
      <c r="AH110" s="125"/>
      <c r="AI110" s="183"/>
      <c r="AJ110" s="184"/>
      <c r="AK110" s="180"/>
      <c r="AL110" s="181"/>
      <c r="BE110" s="13">
        <v>156.5</v>
      </c>
      <c r="BF110" s="60">
        <f t="shared" si="119"/>
        <v>19.947116619001921</v>
      </c>
    </row>
    <row r="111" spans="1:58" ht="15.75" thickBot="1">
      <c r="AB111" s="242"/>
      <c r="AC111" s="243"/>
      <c r="AD111" s="125"/>
      <c r="AE111" s="125"/>
      <c r="AF111" s="125"/>
      <c r="AG111" s="125"/>
      <c r="AH111" s="125"/>
      <c r="AI111" s="180"/>
      <c r="AJ111" s="181"/>
      <c r="AK111" s="125"/>
      <c r="AL111" s="125"/>
      <c r="BE111" s="13">
        <v>158</v>
      </c>
      <c r="BF111" s="60">
        <f t="shared" si="119"/>
        <v>20.053416051776004</v>
      </c>
    </row>
    <row r="112" spans="1:58">
      <c r="AB112" s="242"/>
      <c r="AC112" s="241">
        <v>20</v>
      </c>
      <c r="AD112" s="177"/>
      <c r="AE112" s="178"/>
      <c r="AF112" s="177"/>
      <c r="AG112" s="179"/>
      <c r="AH112" s="179"/>
      <c r="AI112" s="177"/>
      <c r="AJ112" s="178"/>
      <c r="AK112" s="177"/>
      <c r="AL112" s="178"/>
      <c r="BE112" s="13">
        <v>159.5</v>
      </c>
      <c r="BF112" s="60">
        <f t="shared" si="119"/>
        <v>20.159269528782001</v>
      </c>
    </row>
    <row r="113" spans="28:58" ht="15.75" thickBot="1">
      <c r="AB113" s="242"/>
      <c r="AC113" s="242"/>
      <c r="AD113" s="180"/>
      <c r="AE113" s="181"/>
      <c r="AF113" s="180"/>
      <c r="AG113" s="182"/>
      <c r="AH113" s="182"/>
      <c r="AI113" s="183"/>
      <c r="AJ113" s="184"/>
      <c r="AK113" s="183"/>
      <c r="AL113" s="184"/>
      <c r="BE113" s="13">
        <v>161</v>
      </c>
      <c r="BF113" s="60">
        <f t="shared" si="119"/>
        <v>20.264683088735836</v>
      </c>
    </row>
    <row r="114" spans="28:58" ht="15.75" thickBot="1">
      <c r="AB114" s="242"/>
      <c r="AC114" s="242"/>
      <c r="AD114" s="125"/>
      <c r="AE114" s="125"/>
      <c r="AF114" s="125"/>
      <c r="AG114" s="125"/>
      <c r="AH114" s="125"/>
      <c r="AI114" s="183"/>
      <c r="AJ114" s="184"/>
      <c r="AK114" s="180"/>
      <c r="AL114" s="181"/>
      <c r="BE114" s="13">
        <v>162.5</v>
      </c>
      <c r="BF114" s="60">
        <f t="shared" si="119"/>
        <v>20.369662633194423</v>
      </c>
    </row>
    <row r="115" spans="28:58" ht="15.75" thickBot="1">
      <c r="AB115" s="242"/>
      <c r="AC115" s="243"/>
      <c r="AD115" s="125"/>
      <c r="AE115" s="125"/>
      <c r="AF115" s="125"/>
      <c r="AG115" s="125"/>
      <c r="AH115" s="125"/>
      <c r="AI115" s="180"/>
      <c r="AJ115" s="181"/>
      <c r="AK115" s="125"/>
      <c r="AL115" s="125"/>
      <c r="BE115" s="13">
        <v>164</v>
      </c>
      <c r="BF115" s="60">
        <f t="shared" si="119"/>
        <v>20.474213930905989</v>
      </c>
    </row>
    <row r="116" spans="28:58">
      <c r="AB116" s="242"/>
      <c r="AC116" s="241">
        <v>50</v>
      </c>
      <c r="AD116" s="144">
        <v>160</v>
      </c>
      <c r="AE116" s="147">
        <v>180</v>
      </c>
      <c r="AF116" s="144" t="s">
        <v>93</v>
      </c>
      <c r="AG116" s="151">
        <f>LN(AD116)</f>
        <v>5.0751738152338266</v>
      </c>
      <c r="AH116" s="151">
        <f t="shared" ref="AH116:AH117" si="127">LN(AE116)</f>
        <v>5.1929568508902104</v>
      </c>
      <c r="AI116" s="144" t="s">
        <v>28</v>
      </c>
      <c r="AJ116" s="147">
        <f>(AG116+AH116)/2</f>
        <v>5.1340653330620185</v>
      </c>
      <c r="AK116" s="144" t="s">
        <v>39</v>
      </c>
      <c r="AL116" s="147">
        <f>(AJ118-AJ116*AJ117)/(AJ119-AJ116^2)</f>
        <v>0.57987663654080623</v>
      </c>
      <c r="BE116" s="13">
        <v>165.5</v>
      </c>
      <c r="BF116" s="60">
        <f t="shared" si="119"/>
        <v>20.578342621983772</v>
      </c>
    </row>
    <row r="117" spans="28:58" ht="15.75" thickBot="1">
      <c r="AB117" s="242"/>
      <c r="AC117" s="242"/>
      <c r="AD117" s="14">
        <v>19.632496000000003</v>
      </c>
      <c r="AE117" s="149">
        <v>21.020240000000001</v>
      </c>
      <c r="AF117" s="146" t="s">
        <v>94</v>
      </c>
      <c r="AG117" s="152">
        <f>LN(AD117)</f>
        <v>2.9771861525230801</v>
      </c>
      <c r="AH117" s="152">
        <f t="shared" si="127"/>
        <v>3.0454857830810549</v>
      </c>
      <c r="AI117" s="145" t="s">
        <v>30</v>
      </c>
      <c r="AJ117" s="148">
        <f>(AG117+AH117)/2</f>
        <v>3.0113359678020677</v>
      </c>
      <c r="AK117" s="145" t="s">
        <v>95</v>
      </c>
      <c r="AL117" s="148">
        <f>AJ117-AJ116*AL116</f>
        <v>3.4211430685310074E-2</v>
      </c>
      <c r="BE117" s="13">
        <v>167</v>
      </c>
      <c r="BF117" s="60">
        <f t="shared" si="119"/>
        <v>20.682054221912185</v>
      </c>
    </row>
    <row r="118" spans="28:58" ht="15.75" thickBot="1">
      <c r="AB118" s="242"/>
      <c r="AC118" s="242"/>
      <c r="AD118" s="3"/>
      <c r="AE118" s="3"/>
      <c r="AF118" s="3"/>
      <c r="AG118" s="3"/>
      <c r="AH118" s="3"/>
      <c r="AI118" s="145" t="s">
        <v>29</v>
      </c>
      <c r="AJ118" s="148">
        <f>(AG116*AG117+AH116*AH117)/2</f>
        <v>15.46240673295069</v>
      </c>
      <c r="AK118" s="146" t="s">
        <v>40</v>
      </c>
      <c r="AL118" s="149">
        <f>EXP(AL117)</f>
        <v>1.0348033727866435</v>
      </c>
      <c r="BE118" s="13">
        <v>168.5</v>
      </c>
      <c r="BF118" s="60">
        <f t="shared" si="119"/>
        <v>20.785354125393201</v>
      </c>
    </row>
    <row r="119" spans="28:58" ht="15.75" thickBot="1">
      <c r="AB119" s="243"/>
      <c r="AC119" s="243"/>
      <c r="AD119" s="3"/>
      <c r="AE119" s="3"/>
      <c r="AF119" s="3"/>
      <c r="AG119" s="3"/>
      <c r="AH119" s="3"/>
      <c r="AI119" s="146" t="s">
        <v>31</v>
      </c>
      <c r="AJ119" s="149">
        <f>(AG116^2+AH116^2)/2</f>
        <v>26.362095055021321</v>
      </c>
      <c r="AK119" s="3"/>
      <c r="AL119" s="3"/>
      <c r="BE119" s="13">
        <v>170</v>
      </c>
      <c r="BF119" s="60">
        <f t="shared" si="119"/>
        <v>20.888247610041155</v>
      </c>
    </row>
    <row r="120" spans="28:58">
      <c r="BE120" s="13">
        <v>171.5</v>
      </c>
      <c r="BF120" s="60">
        <f t="shared" si="119"/>
        <v>20.990739839932672</v>
      </c>
    </row>
    <row r="121" spans="28:58">
      <c r="BE121" s="13">
        <v>173</v>
      </c>
      <c r="BF121" s="60">
        <f t="shared" si="119"/>
        <v>21.092835869019254</v>
      </c>
    </row>
    <row r="122" spans="28:58">
      <c r="BE122" s="13">
        <v>174.5</v>
      </c>
      <c r="BF122" s="60">
        <f t="shared" si="119"/>
        <v>21.194540644408324</v>
      </c>
    </row>
    <row r="123" spans="28:58">
      <c r="BE123" s="13">
        <v>176</v>
      </c>
      <c r="BF123" s="60">
        <f t="shared" si="119"/>
        <v>21.295859009519457</v>
      </c>
    </row>
    <row r="124" spans="28:58">
      <c r="BE124" s="13">
        <v>177.5</v>
      </c>
      <c r="BF124" s="60">
        <f t="shared" si="119"/>
        <v>21.396795707121203</v>
      </c>
    </row>
    <row r="125" spans="28:58" ht="15.75" thickBot="1">
      <c r="BE125" s="14">
        <v>179</v>
      </c>
      <c r="BF125" s="62">
        <f t="shared" si="119"/>
        <v>21.49735538225401</v>
      </c>
    </row>
    <row r="128" spans="28:58">
      <c r="AC128">
        <v>0.95899999999999996</v>
      </c>
    </row>
    <row r="129" spans="29:29">
      <c r="AC129">
        <v>0.89900000000000002</v>
      </c>
    </row>
    <row r="130" spans="29:29">
      <c r="AC130">
        <v>1.286</v>
      </c>
    </row>
    <row r="131" spans="29:29">
      <c r="AC131">
        <v>1.71</v>
      </c>
    </row>
    <row r="132" spans="29:29">
      <c r="AC132">
        <v>2.44</v>
      </c>
    </row>
    <row r="133" spans="29:29">
      <c r="AC133">
        <v>2.76</v>
      </c>
    </row>
  </sheetData>
  <mergeCells count="79">
    <mergeCell ref="BA17:BB17"/>
    <mergeCell ref="BC17:BD17"/>
    <mergeCell ref="BE17:BF17"/>
    <mergeCell ref="BF2:BF13"/>
    <mergeCell ref="BG2:BG5"/>
    <mergeCell ref="BG6:BG9"/>
    <mergeCell ref="BG10:BG13"/>
    <mergeCell ref="AE2:AE13"/>
    <mergeCell ref="AF2:AF5"/>
    <mergeCell ref="AF6:AF9"/>
    <mergeCell ref="AF10:AF13"/>
    <mergeCell ref="BA16:BF16"/>
    <mergeCell ref="A1:A2"/>
    <mergeCell ref="B1:J1"/>
    <mergeCell ref="N9:O9"/>
    <mergeCell ref="B24:B27"/>
    <mergeCell ref="B28:B31"/>
    <mergeCell ref="A62:M62"/>
    <mergeCell ref="A50:A61"/>
    <mergeCell ref="B32:B35"/>
    <mergeCell ref="A24:A35"/>
    <mergeCell ref="A23:M23"/>
    <mergeCell ref="A36:M36"/>
    <mergeCell ref="B37:B40"/>
    <mergeCell ref="A49:M49"/>
    <mergeCell ref="B50:B53"/>
    <mergeCell ref="B54:B57"/>
    <mergeCell ref="B58:B61"/>
    <mergeCell ref="B41:B44"/>
    <mergeCell ref="B45:B48"/>
    <mergeCell ref="A37:A48"/>
    <mergeCell ref="B89:B92"/>
    <mergeCell ref="A63:A74"/>
    <mergeCell ref="A76:A87"/>
    <mergeCell ref="A89:A100"/>
    <mergeCell ref="B71:B74"/>
    <mergeCell ref="A75:M75"/>
    <mergeCell ref="B76:B79"/>
    <mergeCell ref="B80:B83"/>
    <mergeCell ref="B84:B87"/>
    <mergeCell ref="B63:B66"/>
    <mergeCell ref="B67:B70"/>
    <mergeCell ref="AB24:AB35"/>
    <mergeCell ref="AC24:AC27"/>
    <mergeCell ref="AC28:AC31"/>
    <mergeCell ref="AC32:AC35"/>
    <mergeCell ref="AB23:AL23"/>
    <mergeCell ref="AB36:AB47"/>
    <mergeCell ref="AC36:AC39"/>
    <mergeCell ref="AC40:AC43"/>
    <mergeCell ref="AC44:AC47"/>
    <mergeCell ref="AB48:AB59"/>
    <mergeCell ref="AC48:AC51"/>
    <mergeCell ref="AC52:AC55"/>
    <mergeCell ref="AC56:AC59"/>
    <mergeCell ref="AB60:AB71"/>
    <mergeCell ref="AC60:AC63"/>
    <mergeCell ref="AC64:AC67"/>
    <mergeCell ref="AC68:AC71"/>
    <mergeCell ref="AB72:AB83"/>
    <mergeCell ref="AC72:AC75"/>
    <mergeCell ref="AC76:AC79"/>
    <mergeCell ref="AC80:AC83"/>
    <mergeCell ref="AP24:AQ24"/>
    <mergeCell ref="AR24:AS24"/>
    <mergeCell ref="AN23:AS23"/>
    <mergeCell ref="AB108:AB119"/>
    <mergeCell ref="AC108:AC111"/>
    <mergeCell ref="AC112:AC115"/>
    <mergeCell ref="AC116:AC119"/>
    <mergeCell ref="AN24:AO24"/>
    <mergeCell ref="AB84:AB95"/>
    <mergeCell ref="AC84:AC87"/>
    <mergeCell ref="AC88:AC91"/>
    <mergeCell ref="AC92:AC95"/>
    <mergeCell ref="AB96:AB107"/>
    <mergeCell ref="AC96:AC99"/>
    <mergeCell ref="AC100:AC103"/>
    <mergeCell ref="AC104:AC107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84"/>
  <sheetViews>
    <sheetView tabSelected="1" zoomScale="110" zoomScaleNormal="110" workbookViewId="0">
      <selection activeCell="C5" sqref="C5"/>
    </sheetView>
  </sheetViews>
  <sheetFormatPr defaultRowHeight="15"/>
  <cols>
    <col min="1" max="1" width="14.5703125" customWidth="1"/>
    <col min="2" max="2" width="18.42578125" customWidth="1"/>
    <col min="3" max="3" width="12" bestFit="1" customWidth="1"/>
    <col min="11" max="11" width="10" customWidth="1"/>
    <col min="14" max="14" width="13.5703125" customWidth="1"/>
    <col min="15" max="15" width="12.42578125" customWidth="1"/>
    <col min="19" max="19" width="12.28515625" customWidth="1"/>
    <col min="20" max="20" width="12" customWidth="1"/>
    <col min="26" max="26" width="12.5703125" customWidth="1"/>
    <col min="27" max="27" width="15.42578125" customWidth="1"/>
  </cols>
  <sheetData>
    <row r="1" spans="1:38" ht="15.75" thickBot="1"/>
    <row r="2" spans="1:38" ht="15.75" thickBot="1">
      <c r="A2" s="218" t="s">
        <v>5</v>
      </c>
      <c r="B2" s="218" t="s">
        <v>6</v>
      </c>
      <c r="C2" s="262" t="s">
        <v>102</v>
      </c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4"/>
      <c r="O2" s="265" t="s">
        <v>144</v>
      </c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7"/>
      <c r="AA2" s="259" t="s">
        <v>145</v>
      </c>
      <c r="AB2" s="260"/>
      <c r="AC2" s="260"/>
      <c r="AD2" s="260"/>
      <c r="AE2" s="260"/>
      <c r="AF2" s="260"/>
      <c r="AG2" s="260"/>
      <c r="AH2" s="260"/>
      <c r="AI2" s="260"/>
      <c r="AJ2" s="260"/>
      <c r="AK2" s="260"/>
      <c r="AL2" s="261"/>
    </row>
    <row r="3" spans="1:38" ht="15.75" thickBot="1">
      <c r="A3" s="225"/>
      <c r="B3" s="225"/>
      <c r="C3" s="200" t="s">
        <v>134</v>
      </c>
      <c r="D3" s="200" t="s">
        <v>135</v>
      </c>
      <c r="E3" s="200" t="s">
        <v>136</v>
      </c>
      <c r="F3" s="63" t="s">
        <v>137</v>
      </c>
      <c r="G3" s="78" t="s">
        <v>141</v>
      </c>
      <c r="H3" s="78" t="s">
        <v>142</v>
      </c>
      <c r="I3" s="78" t="s">
        <v>143</v>
      </c>
      <c r="J3" s="199" t="s">
        <v>138</v>
      </c>
      <c r="K3" s="199" t="s">
        <v>139</v>
      </c>
      <c r="L3" s="199" t="s">
        <v>140</v>
      </c>
      <c r="M3" s="63" t="s">
        <v>12</v>
      </c>
      <c r="N3" s="199" t="s">
        <v>11</v>
      </c>
      <c r="O3" s="185" t="s">
        <v>134</v>
      </c>
      <c r="P3" s="200" t="s">
        <v>135</v>
      </c>
      <c r="Q3" s="200" t="s">
        <v>136</v>
      </c>
      <c r="R3" s="63" t="s">
        <v>137</v>
      </c>
      <c r="S3" s="78" t="s">
        <v>141</v>
      </c>
      <c r="T3" s="78" t="s">
        <v>142</v>
      </c>
      <c r="U3" s="78" t="s">
        <v>143</v>
      </c>
      <c r="V3" s="199" t="s">
        <v>138</v>
      </c>
      <c r="W3" s="199" t="s">
        <v>139</v>
      </c>
      <c r="X3" s="199" t="s">
        <v>140</v>
      </c>
      <c r="Y3" s="63" t="s">
        <v>12</v>
      </c>
      <c r="Z3" s="199" t="s">
        <v>11</v>
      </c>
      <c r="AA3" s="200" t="s">
        <v>134</v>
      </c>
      <c r="AB3" s="200" t="s">
        <v>135</v>
      </c>
      <c r="AC3" s="200" t="s">
        <v>136</v>
      </c>
      <c r="AD3" s="63" t="s">
        <v>137</v>
      </c>
      <c r="AE3" s="78" t="s">
        <v>141</v>
      </c>
      <c r="AF3" s="78" t="s">
        <v>142</v>
      </c>
      <c r="AG3" s="78" t="s">
        <v>143</v>
      </c>
      <c r="AH3" s="199" t="s">
        <v>138</v>
      </c>
      <c r="AI3" s="199" t="s">
        <v>139</v>
      </c>
      <c r="AJ3" s="199" t="s">
        <v>140</v>
      </c>
      <c r="AK3" s="63" t="s">
        <v>12</v>
      </c>
      <c r="AL3" s="199" t="s">
        <v>11</v>
      </c>
    </row>
    <row r="4" spans="1:38" ht="15.75" thickBot="1">
      <c r="A4" s="63">
        <v>0</v>
      </c>
      <c r="B4" s="63">
        <v>224817.99</v>
      </c>
      <c r="C4" s="186">
        <f>((0.959*(10^(-3)/98066.5^0.592)*1700*B4*(0.95*324.38*2818)^0.5)/(1442*0.652*0.96))^(1/(1-0.592))</f>
        <v>2684762.4341454026</v>
      </c>
      <c r="D4" s="187">
        <f>C4*9.80665*10^(-6)</f>
        <v>26.328525524812012</v>
      </c>
      <c r="E4" s="187">
        <f>C4/10^6</f>
        <v>2.6847624341454028</v>
      </c>
      <c r="F4" s="74">
        <f>0.959*D4^0.592</f>
        <v>6.6483077951981482</v>
      </c>
      <c r="G4" s="74">
        <f>((1.222+1)/(1.222-1)*(1-(0.098/E4)^(0.222/1.222)))^0.5</f>
        <v>2.1268766866657733</v>
      </c>
      <c r="H4" s="74">
        <f>(1+G4^2)*(1-0.222/2.222*G4^2)^(1/0.222)</f>
        <v>0.36789611320435628</v>
      </c>
      <c r="I4" s="74">
        <f>G4*(1-0.222/2.222*G4^2)^(1/0.222)*(2.222/2)^(1/0.222)</f>
        <v>0.22759573781679585</v>
      </c>
      <c r="J4" s="192">
        <f>0.85*0.92*E4*957*((H4-(0.098/E4))/I4)</f>
        <v>2925.5318235222257</v>
      </c>
      <c r="K4" s="192">
        <f>J4*10^(-3)</f>
        <v>2.9255318235222258</v>
      </c>
      <c r="L4" s="192">
        <f>0.10197*J4</f>
        <v>298.31648004456139</v>
      </c>
      <c r="M4" s="74">
        <v>0</v>
      </c>
      <c r="N4" s="192">
        <v>0</v>
      </c>
      <c r="O4" s="186">
        <f>((1.213*(10^(-3)/98066.5^0.55)*1700*B4*(0.95*324.38*2818)^0.5)/(957*0.652*0.96))^(1/(1-0.55))</f>
        <v>8263887.4244244043</v>
      </c>
      <c r="P4" s="187">
        <f>O4*9.80665*10^(-6)</f>
        <v>81.041051610731586</v>
      </c>
      <c r="Q4" s="187">
        <f>O4/10^6</f>
        <v>8.2638874244244036</v>
      </c>
      <c r="R4" s="74">
        <f>1.213*P4^0.55</f>
        <v>13.603435075430758</v>
      </c>
      <c r="S4" s="74">
        <f>((1.222+1)/(1.222-1)*(1-(0.098/Q4)^(0.222/1.222)))^0.5</f>
        <v>2.353081488270532</v>
      </c>
      <c r="T4" s="74">
        <f>(1+S4^2)*(1-0.222/2.222*S4^2)^(1/0.222)</f>
        <v>0.17350314463342401</v>
      </c>
      <c r="U4" s="74">
        <f>S4*(1-0.222/2.222*S4^2)^(1/0.222)*(2.222/2)^(1/0.222)</f>
        <v>0.10034263839474721</v>
      </c>
      <c r="V4" s="192">
        <f>0.85*0.92*Q4*957*((T4-(0.098/Q4))/U4)</f>
        <v>9962.7220239419912</v>
      </c>
      <c r="W4" s="192">
        <f>V4*10^(-3)</f>
        <v>9.9627220239419909</v>
      </c>
      <c r="X4" s="192">
        <f>0.10197*V4</f>
        <v>1015.8987647813649</v>
      </c>
      <c r="Y4" s="74">
        <v>0</v>
      </c>
      <c r="Z4" s="192">
        <v>0</v>
      </c>
      <c r="AA4" s="186">
        <f>((1.131*(10^(-3)/98066.5^0.577)*1700*B4*(0.95*324.38*2818)^0.5)/(957*0.652*0.96))^(1/(1-0.577))</f>
        <v>9294707.9921993222</v>
      </c>
      <c r="AB4" s="187">
        <f>AA4*9.80665*10^(-6)</f>
        <v>91.149948131701478</v>
      </c>
      <c r="AC4" s="187">
        <f>AA4/10^6</f>
        <v>9.2947079921993225</v>
      </c>
      <c r="AD4" s="74">
        <f>1.131*AB4^0.577</f>
        <v>15.284177148091548</v>
      </c>
      <c r="AE4" s="74">
        <f>((1.222+1)/(1.222-1)*(1-(0.098/AC4)^(0.222/1.222)))^0.5</f>
        <v>2.3730741745440591</v>
      </c>
      <c r="AF4" s="74">
        <f>(1+AE4^2)*(1-0.222/2.222*AE4^2)^(1/0.222)</f>
        <v>0.15986853968410711</v>
      </c>
      <c r="AG4" s="74">
        <f>AE4*(1-0.222/2.222*AE4^2)^(1/0.222)*(2.222/2)^(1/0.222)</f>
        <v>9.1914276552168106E-2</v>
      </c>
      <c r="AH4" s="192">
        <f>0.85*0.92*AC4*957*((AF4-(0.098/AC4))/AG4)</f>
        <v>11300.657608853164</v>
      </c>
      <c r="AI4" s="192">
        <f>AH4*10^(-3)</f>
        <v>11.300657608853165</v>
      </c>
      <c r="AJ4" s="192">
        <f>0.10197*AH4</f>
        <v>1152.3280563747571</v>
      </c>
      <c r="AK4" s="74">
        <v>0</v>
      </c>
      <c r="AL4" s="195">
        <v>0</v>
      </c>
    </row>
    <row r="5" spans="1:38" ht="15.75" thickBot="1">
      <c r="A5" s="23">
        <v>2.5</v>
      </c>
      <c r="B5" s="23">
        <v>244878.6</v>
      </c>
      <c r="C5" s="188">
        <f>((1.286*(10^(-3)/98066.5^0.522)*1700*B5*(0.95*324.38*2818)^0.5)/(1442*0.652*0.96))^(1/(1-0.522))</f>
        <v>3652923.1072552209</v>
      </c>
      <c r="D5" s="189">
        <f t="shared" ref="D5:D26" si="0">C5*9.80665*10^(-6)</f>
        <v>35.82293838976441</v>
      </c>
      <c r="E5" s="189">
        <f t="shared" ref="E5:E26" si="1">C5/10^6</f>
        <v>3.6529231072552211</v>
      </c>
      <c r="F5" s="8">
        <f>1.286*D5^0.522</f>
        <v>8.3274707936021191</v>
      </c>
      <c r="G5" s="8">
        <f t="shared" ref="G5:G25" si="2">((1.222+1)/(1.222-1)*(1-(0.098/E5)^(0.222/1.222)))^0.5</f>
        <v>2.1959157083142617</v>
      </c>
      <c r="H5" s="8">
        <f t="shared" ref="H5:H25" si="3">(1+G5^2)*(1-0.222/2.222*G5^2)^(1/0.222)</f>
        <v>0.30139710394599845</v>
      </c>
      <c r="I5" s="8">
        <f t="shared" ref="I5:I26" si="4">G5*(1-0.222/2.222*G5^2)^(1/0.222)*(2.222/2)^(1/0.222)</f>
        <v>0.18264101305363017</v>
      </c>
      <c r="J5" s="192">
        <f t="shared" ref="J5:J25" si="5">0.85*0.92*E5*957*((H5-(0.098/E5))/I5)</f>
        <v>4109.7258241410218</v>
      </c>
      <c r="K5" s="193">
        <f t="shared" ref="K5:K25" si="6">J5*10^(-3)</f>
        <v>4.1097258241410222</v>
      </c>
      <c r="L5" s="193">
        <f t="shared" ref="L5:L26" si="7">0.10197*J5</f>
        <v>419.06874228766003</v>
      </c>
      <c r="M5" s="8">
        <f t="shared" ref="M5:M26" si="8">M4+(2.5/F4)</f>
        <v>0.37603553821705832</v>
      </c>
      <c r="N5" s="193">
        <f>(J5+J4)/2*(M5-M4)</f>
        <v>1322.7534480173624</v>
      </c>
      <c r="O5" s="188">
        <f>((1.798*(10^(-3)/98066.5^0.46)*1700*B5*(0.95*324.38*2818)^0.5)/(957*0.652*0.96))^(1/(1-0.46))</f>
        <v>9583314.3719412461</v>
      </c>
      <c r="P5" s="189">
        <f t="shared" ref="P5:P26" si="9">O5*9.80665*10^(-6)</f>
        <v>93.980209885597617</v>
      </c>
      <c r="Q5" s="189">
        <f t="shared" ref="Q5:Q26" si="10">O5/10^6</f>
        <v>9.5833143719412455</v>
      </c>
      <c r="R5" s="8">
        <f>1.798*P5^0.46</f>
        <v>14.534042850110295</v>
      </c>
      <c r="S5" s="8">
        <f t="shared" ref="S5:S25" si="11">((1.222+1)/(1.222-1)*(1-(0.098/Q5)^(0.222/1.222)))^0.5</f>
        <v>2.3781781683796077</v>
      </c>
      <c r="T5" s="8">
        <f t="shared" ref="T5:T25" si="12">(1+S5^2)*(1-0.222/2.222*S5^2)^(1/0.222)</f>
        <v>0.15648792972316472</v>
      </c>
      <c r="U5" s="8">
        <f t="shared" ref="U5:U26" si="13">S5*(1-0.222/2.222*S5^2)^(1/0.222)*(2.222/2)^(1/0.222)</f>
        <v>8.9835632577217286E-2</v>
      </c>
      <c r="V5" s="192">
        <f t="shared" ref="V5:V25" si="14">0.85*0.92*Q5*957*((T5-(0.098/Q5))/U5)</f>
        <v>11676.610038023266</v>
      </c>
      <c r="W5" s="193">
        <f t="shared" ref="W5:W25" si="15">V5*10^(-3)</f>
        <v>11.676610038023266</v>
      </c>
      <c r="X5" s="193">
        <f t="shared" ref="X5:X26" si="16">0.10197*V5</f>
        <v>1190.6639255772325</v>
      </c>
      <c r="Y5" s="8">
        <f t="shared" ref="Y5:Y26" si="17">Y4+(2.5/R4)</f>
        <v>0.18377711115887665</v>
      </c>
      <c r="Z5" s="193">
        <f>(V5+V4)/2*(Y5-Y4)</f>
        <v>1988.4069668778166</v>
      </c>
      <c r="AA5" s="188">
        <f>((2.8*(10^(-3)/98066.5^0.38)*1700*B5*(0.95*324.38*2818)^0.5)/(957*0.652*0.96))^(1/(1-0.38))</f>
        <v>10839611.111140756</v>
      </c>
      <c r="AB5" s="189">
        <f t="shared" ref="AB5:AB26" si="18">AA5*9.80665*10^(-6)</f>
        <v>106.30027230306848</v>
      </c>
      <c r="AC5" s="189">
        <f t="shared" ref="AC5:AC26" si="19">AA5/10^6</f>
        <v>10.839611111140757</v>
      </c>
      <c r="AD5" s="8">
        <f>2.8*AB5^0.38</f>
        <v>16.490776078333521</v>
      </c>
      <c r="AE5" s="8">
        <f t="shared" ref="AE5:AE25" si="20">((1.222+1)/(1.222-1)*(1-(0.098/AC5)^(0.222/1.222)))^0.5</f>
        <v>2.3983473641465474</v>
      </c>
      <c r="AF5" s="8">
        <f t="shared" ref="AF5:AF25" si="21">(1+AE5^2)*(1-0.222/2.222*AE5^2)^(1/0.222)</f>
        <v>0.14353009612509549</v>
      </c>
      <c r="AG5" s="8">
        <f t="shared" ref="AG5:AG26" si="22">AE5*(1-0.222/2.222*AE5^2)^(1/0.222)*(2.222/2)^(1/0.222)</f>
        <v>8.1910071164601528E-2</v>
      </c>
      <c r="AH5" s="192">
        <f t="shared" ref="AH5:AH25" si="23">0.85*0.92*AC5*957*((AF5-(0.098/AC5))/AG5)</f>
        <v>13319.331839090992</v>
      </c>
      <c r="AI5" s="193">
        <f t="shared" ref="AI5:AI25" si="24">AH5*10^(-3)</f>
        <v>13.319331839090992</v>
      </c>
      <c r="AJ5" s="193">
        <f t="shared" ref="AJ5:AJ26" si="25">0.10197*AH5</f>
        <v>1358.1722676321085</v>
      </c>
      <c r="AK5" s="8">
        <f t="shared" ref="AK5:AK26" si="26">AK4+(2.5/AD4)</f>
        <v>0.16356785031846882</v>
      </c>
      <c r="AL5" s="196">
        <f>(AH5+AH4)/2*(AK5-AK4)</f>
        <v>2013.5193744318058</v>
      </c>
    </row>
    <row r="6" spans="1:38" ht="15.75" thickBot="1">
      <c r="A6" s="23">
        <v>5</v>
      </c>
      <c r="B6" s="23">
        <v>258174</v>
      </c>
      <c r="C6" s="188">
        <f>((1.71*(10^(-3)/98066.5^0.457)*1700*B6*(0.95*324.38*2818)^0.5)/(1442*0.652*0.96))^(1/(1-0.457))</f>
        <v>4413323.874231901</v>
      </c>
      <c r="D6" s="189">
        <f t="shared" si="0"/>
        <v>43.279922571236263</v>
      </c>
      <c r="E6" s="189">
        <f t="shared" si="1"/>
        <v>4.4133238742319012</v>
      </c>
      <c r="F6" s="8">
        <f>1.71*D6^0.457</f>
        <v>9.5670717166042696</v>
      </c>
      <c r="G6" s="8">
        <f t="shared" si="2"/>
        <v>2.2354443528913093</v>
      </c>
      <c r="H6" s="8">
        <f t="shared" si="3"/>
        <v>0.26595441133840997</v>
      </c>
      <c r="I6" s="8">
        <f t="shared" si="4"/>
        <v>0.15927253201956396</v>
      </c>
      <c r="J6" s="192">
        <f t="shared" si="5"/>
        <v>5054.5944521201454</v>
      </c>
      <c r="K6" s="193">
        <f t="shared" si="6"/>
        <v>5.0545944521201456</v>
      </c>
      <c r="L6" s="193">
        <f t="shared" si="7"/>
        <v>515.41699628269123</v>
      </c>
      <c r="M6" s="8">
        <f t="shared" si="8"/>
        <v>0.6762467382275964</v>
      </c>
      <c r="N6" s="193">
        <f t="shared" ref="N6:N26" si="27">(J6+J5)/2*(M6-M5)</f>
        <v>1375.6157937086355</v>
      </c>
      <c r="O6" s="188">
        <f>((1.798*(10^(-3)/98066.5^0.46)*1700*B6*(0.95*324.38*2818)^0.5)/(957*0.652*0.96))^(1/(1-0.46))</f>
        <v>10569083.909092143</v>
      </c>
      <c r="P6" s="189">
        <f t="shared" si="9"/>
        <v>103.64730671709846</v>
      </c>
      <c r="Q6" s="189">
        <f t="shared" si="10"/>
        <v>10.569083909092143</v>
      </c>
      <c r="R6" s="8">
        <f>1.798*P6^0.46</f>
        <v>15.203597978554232</v>
      </c>
      <c r="S6" s="8">
        <f t="shared" si="11"/>
        <v>2.394259667663257</v>
      </c>
      <c r="T6" s="8">
        <f t="shared" si="12"/>
        <v>0.14610441938319896</v>
      </c>
      <c r="U6" s="8">
        <f t="shared" si="13"/>
        <v>8.3479291874958214E-2</v>
      </c>
      <c r="V6" s="192">
        <f t="shared" si="14"/>
        <v>12964.782905184633</v>
      </c>
      <c r="W6" s="193">
        <f t="shared" si="15"/>
        <v>12.964782905184633</v>
      </c>
      <c r="X6" s="193">
        <f t="shared" si="16"/>
        <v>1322.0189128416771</v>
      </c>
      <c r="Y6" s="8">
        <f t="shared" si="17"/>
        <v>0.35578706226350187</v>
      </c>
      <c r="Z6" s="193">
        <f t="shared" ref="Z6:Z26" si="28">(V6+V5)/2*(Y6-Y5)</f>
        <v>2119.2823976555237</v>
      </c>
      <c r="AA6" s="188">
        <f>((2.8*(10^(-3)/98066.5^0.38)*1700*B6*(0.95*324.38*2818)^0.5)/(957*0.652*0.96))^(1/(1-0.38))</f>
        <v>11804528.710919818</v>
      </c>
      <c r="AB6" s="189">
        <f t="shared" si="18"/>
        <v>115.76288148294182</v>
      </c>
      <c r="AC6" s="189">
        <f t="shared" si="19"/>
        <v>11.804528710919818</v>
      </c>
      <c r="AD6" s="8">
        <f>2.8*AB6^0.38</f>
        <v>17.033911091919801</v>
      </c>
      <c r="AE6" s="8">
        <f t="shared" si="20"/>
        <v>2.4119516224396502</v>
      </c>
      <c r="AF6" s="8">
        <f t="shared" si="21"/>
        <v>0.13515279271138883</v>
      </c>
      <c r="AG6" s="8">
        <f t="shared" si="22"/>
        <v>7.682224199422566E-2</v>
      </c>
      <c r="AH6" s="192">
        <f t="shared" si="23"/>
        <v>14587.26588193721</v>
      </c>
      <c r="AI6" s="193">
        <f t="shared" si="24"/>
        <v>14.58726588193721</v>
      </c>
      <c r="AJ6" s="193">
        <f t="shared" si="25"/>
        <v>1487.4635019811374</v>
      </c>
      <c r="AK6" s="8">
        <f t="shared" si="26"/>
        <v>0.31516775005178921</v>
      </c>
      <c r="AL6" s="196">
        <f t="shared" ref="AL6:AL26" si="29">(AH6+AH5)/2*(AK6-AK5)</f>
        <v>2115.3187082029913</v>
      </c>
    </row>
    <row r="7" spans="1:38" ht="15.75" thickBot="1">
      <c r="A7" s="23">
        <v>7.5</v>
      </c>
      <c r="B7" s="23">
        <v>284984.8</v>
      </c>
      <c r="C7" s="188">
        <f>((1.71*(10^(-3)/98066.5^0.457)*1700*B7*(0.95*324.38*2818)^0.5)/(1442*0.652*0.96))^(1/(1-0.457))</f>
        <v>5294052.640995835</v>
      </c>
      <c r="D7" s="189">
        <f t="shared" si="0"/>
        <v>51.916921331821797</v>
      </c>
      <c r="E7" s="189">
        <f t="shared" si="1"/>
        <v>5.2940526409958348</v>
      </c>
      <c r="F7" s="8">
        <f>1.71*D7^0.457</f>
        <v>10.396622900926033</v>
      </c>
      <c r="G7" s="8">
        <f t="shared" si="2"/>
        <v>2.2716012653138926</v>
      </c>
      <c r="H7" s="8">
        <f t="shared" si="3"/>
        <v>0.23538793691193827</v>
      </c>
      <c r="I7" s="8">
        <f t="shared" si="4"/>
        <v>0.13945774184976972</v>
      </c>
      <c r="J7" s="192">
        <f t="shared" si="5"/>
        <v>6161.3660420528422</v>
      </c>
      <c r="K7" s="193">
        <f t="shared" si="6"/>
        <v>6.1613660420528422</v>
      </c>
      <c r="L7" s="193">
        <f t="shared" si="7"/>
        <v>628.27449530812839</v>
      </c>
      <c r="M7" s="8">
        <f t="shared" si="8"/>
        <v>0.93755971612250333</v>
      </c>
      <c r="N7" s="193">
        <f t="shared" si="27"/>
        <v>1465.4380183419878</v>
      </c>
      <c r="O7" s="188">
        <f>((2.01*(10^(-3)/98066.5^0.437)*1700*B7*(0.95*324.38*2818)^0.5)/(957*0.652*0.96))^(1/(1-0.437))</f>
        <v>12682311.374796806</v>
      </c>
      <c r="P7" s="189">
        <f t="shared" si="9"/>
        <v>124.37098884365108</v>
      </c>
      <c r="Q7" s="189">
        <f t="shared" si="10"/>
        <v>12.682311374796805</v>
      </c>
      <c r="R7" s="8">
        <f>2.01*P7^0.437</f>
        <v>16.542010744500214</v>
      </c>
      <c r="S7" s="8">
        <f t="shared" si="11"/>
        <v>2.4231740620158169</v>
      </c>
      <c r="T7" s="8">
        <f t="shared" si="12"/>
        <v>0.12846273814187836</v>
      </c>
      <c r="U7" s="8">
        <f t="shared" si="13"/>
        <v>7.2780024145441977E-2</v>
      </c>
      <c r="V7" s="192">
        <f t="shared" si="14"/>
        <v>15744.891663719347</v>
      </c>
      <c r="W7" s="193">
        <f t="shared" si="15"/>
        <v>15.744891663719347</v>
      </c>
      <c r="X7" s="193">
        <f t="shared" si="16"/>
        <v>1605.5066029494619</v>
      </c>
      <c r="Y7" s="8">
        <f t="shared" si="17"/>
        <v>0.52022182326720834</v>
      </c>
      <c r="Z7" s="193">
        <f t="shared" si="28"/>
        <v>2360.4342381159577</v>
      </c>
      <c r="AA7" s="188">
        <f>((2.64*(10^(-3)/98066.5^0.39)*1700*B7*(0.95*324.38*2818)^0.5)/(957*0.652*0.96))^(1/(1-0.39))</f>
        <v>13633477.145208225</v>
      </c>
      <c r="AB7" s="189">
        <f t="shared" si="18"/>
        <v>133.69873864605623</v>
      </c>
      <c r="AC7" s="189">
        <f t="shared" si="19"/>
        <v>13.633477145208225</v>
      </c>
      <c r="AD7" s="8">
        <f>2.64*AB7^0.39</f>
        <v>17.815317956816884</v>
      </c>
      <c r="AE7" s="8">
        <f t="shared" si="20"/>
        <v>2.4342911650464685</v>
      </c>
      <c r="AF7" s="8">
        <f t="shared" si="21"/>
        <v>0.12203218072647844</v>
      </c>
      <c r="AG7" s="8">
        <f t="shared" si="22"/>
        <v>6.8912466869376049E-2</v>
      </c>
      <c r="AH7" s="192">
        <f t="shared" si="23"/>
        <v>17003.401531034164</v>
      </c>
      <c r="AI7" s="193">
        <f t="shared" si="24"/>
        <v>17.003401531034164</v>
      </c>
      <c r="AJ7" s="193">
        <f t="shared" si="25"/>
        <v>1733.8368541195537</v>
      </c>
      <c r="AK7" s="8">
        <f t="shared" si="26"/>
        <v>0.46193380903315251</v>
      </c>
      <c r="AL7" s="196">
        <f t="shared" si="29"/>
        <v>2318.2188783963938</v>
      </c>
    </row>
    <row r="8" spans="1:38" ht="15.75" thickBot="1">
      <c r="A8" s="23">
        <v>10</v>
      </c>
      <c r="B8" s="23">
        <v>304382.2</v>
      </c>
      <c r="C8" s="188">
        <f>((2.44*(10^(-3)/98066.5^0.38)*1700*B8*(0.95*324.38*2818)^0.5)/(1442*0.652*0.96))^(1/(1-0.38))</f>
        <v>6365008.801636843</v>
      </c>
      <c r="D8" s="189">
        <f t="shared" si="0"/>
        <v>62.41941356457194</v>
      </c>
      <c r="E8" s="189">
        <f t="shared" si="1"/>
        <v>6.3650088016368427</v>
      </c>
      <c r="F8" s="8">
        <f>2.44*D8^0.38</f>
        <v>11.738464916821702</v>
      </c>
      <c r="G8" s="8">
        <f t="shared" si="2"/>
        <v>2.3064633994119577</v>
      </c>
      <c r="H8" s="8">
        <f t="shared" si="3"/>
        <v>0.20769096381733287</v>
      </c>
      <c r="I8" s="8">
        <f t="shared" si="4"/>
        <v>0.12178164776086434</v>
      </c>
      <c r="J8" s="192">
        <f t="shared" si="5"/>
        <v>7521.4613683951184</v>
      </c>
      <c r="K8" s="193">
        <f t="shared" si="6"/>
        <v>7.5214613683951184</v>
      </c>
      <c r="L8" s="193">
        <f t="shared" si="7"/>
        <v>766.96341573525024</v>
      </c>
      <c r="M8" s="8">
        <f t="shared" si="8"/>
        <v>1.1780224148106826</v>
      </c>
      <c r="N8" s="193">
        <f t="shared" si="27"/>
        <v>1645.104802400454</v>
      </c>
      <c r="O8" s="188">
        <f>((2.89*(10^(-3)/98066.5^0.362)*1700*B8*(0.95*324.38*2818)^0.5)/(957*0.652*0.96))^(1/(1-0.362))</f>
        <v>14027028.14717968</v>
      </c>
      <c r="P8" s="189">
        <f t="shared" si="9"/>
        <v>137.5581555795396</v>
      </c>
      <c r="Q8" s="189">
        <f t="shared" si="10"/>
        <v>14.02702814717968</v>
      </c>
      <c r="R8" s="8">
        <f>2.89*P8^0.362</f>
        <v>17.180266618004843</v>
      </c>
      <c r="S8" s="8">
        <f t="shared" si="11"/>
        <v>2.4386120876040582</v>
      </c>
      <c r="T8" s="8">
        <f t="shared" si="12"/>
        <v>0.11958560825020215</v>
      </c>
      <c r="U8" s="8">
        <f t="shared" si="13"/>
        <v>6.7445692815757477E-2</v>
      </c>
      <c r="V8" s="192">
        <f t="shared" si="14"/>
        <v>17525.283172857315</v>
      </c>
      <c r="W8" s="193">
        <f t="shared" si="15"/>
        <v>17.525283172857314</v>
      </c>
      <c r="X8" s="193">
        <f t="shared" si="16"/>
        <v>1787.0531251362604</v>
      </c>
      <c r="Y8" s="8">
        <f t="shared" si="17"/>
        <v>0.67135218091319071</v>
      </c>
      <c r="Z8" s="193">
        <f t="shared" si="28"/>
        <v>2514.0667109980968</v>
      </c>
      <c r="AA8" s="188">
        <f t="shared" ref="AA8:AA22" si="30">((2.64*(10^(-3)/98066.5^0.39)*1700*B8*(0.95*324.38*2818)^0.5)/(957*0.652*0.96))^(1/(1-0.39))</f>
        <v>15187555.276527438</v>
      </c>
      <c r="AB8" s="189">
        <f t="shared" si="18"/>
        <v>148.93903895255781</v>
      </c>
      <c r="AC8" s="189">
        <f t="shared" si="19"/>
        <v>15.187555276527439</v>
      </c>
      <c r="AD8" s="8">
        <f t="shared" ref="AD8:AD26" si="31">2.64*AB8^0.39</f>
        <v>18.581349848275313</v>
      </c>
      <c r="AE8" s="8">
        <f t="shared" si="20"/>
        <v>2.4505242593313858</v>
      </c>
      <c r="AF8" s="8">
        <f t="shared" si="21"/>
        <v>0.11299368302394232</v>
      </c>
      <c r="AG8" s="8">
        <f t="shared" si="22"/>
        <v>6.3506755975069995E-2</v>
      </c>
      <c r="AH8" s="192">
        <f t="shared" si="23"/>
        <v>19067.929222520434</v>
      </c>
      <c r="AI8" s="193">
        <f t="shared" si="24"/>
        <v>19.067929222520434</v>
      </c>
      <c r="AJ8" s="193">
        <f t="shared" si="25"/>
        <v>1944.3567428204087</v>
      </c>
      <c r="AK8" s="8">
        <f t="shared" si="26"/>
        <v>0.6022624860772462</v>
      </c>
      <c r="AL8" s="196">
        <f t="shared" si="29"/>
        <v>2530.9210619331238</v>
      </c>
    </row>
    <row r="9" spans="1:38" ht="15.75" thickBot="1">
      <c r="A9" s="23">
        <v>12.5</v>
      </c>
      <c r="B9" s="23">
        <v>321099.2</v>
      </c>
      <c r="C9" s="188">
        <f>((2.44*(10^(-3)/98066.5^0.38)*1700*B9*(0.95*324.38*2818)^0.5)/(1442*0.652*0.96))^(1/(1-0.38))</f>
        <v>6938260.0921620931</v>
      </c>
      <c r="D9" s="189">
        <f t="shared" si="0"/>
        <v>68.04108833280138</v>
      </c>
      <c r="E9" s="189">
        <f t="shared" si="1"/>
        <v>6.9382600921620927</v>
      </c>
      <c r="F9" s="8">
        <f>2.44*D9^0.38</f>
        <v>12.129500087457947</v>
      </c>
      <c r="G9" s="8">
        <f t="shared" si="2"/>
        <v>2.3222110370977624</v>
      </c>
      <c r="H9" s="8">
        <f t="shared" si="3"/>
        <v>0.19577183680777735</v>
      </c>
      <c r="I9" s="8">
        <f t="shared" si="4"/>
        <v>0.11425867924225276</v>
      </c>
      <c r="J9" s="192">
        <f t="shared" si="5"/>
        <v>8254.8448348485763</v>
      </c>
      <c r="K9" s="193">
        <f t="shared" si="6"/>
        <v>8.2548448348485763</v>
      </c>
      <c r="L9" s="193">
        <f t="shared" si="7"/>
        <v>841.74652780950942</v>
      </c>
      <c r="M9" s="8">
        <f t="shared" si="8"/>
        <v>1.3909974518121049</v>
      </c>
      <c r="N9" s="193">
        <f t="shared" si="27"/>
        <v>1679.9796986907968</v>
      </c>
      <c r="O9" s="188">
        <f>((2.89*(10^(-3)/98066.5^0.362)*1700*B9*(0.95*324.38*2818)^0.5)/(957*0.652*0.96))^(1/(1-0.362))</f>
        <v>15253187.493726628</v>
      </c>
      <c r="P9" s="189">
        <f t="shared" si="9"/>
        <v>149.58267113535422</v>
      </c>
      <c r="Q9" s="189">
        <f t="shared" si="10"/>
        <v>15.253187493726628</v>
      </c>
      <c r="R9" s="8">
        <f t="shared" ref="R9:R23" si="32">2.89*P9^0.362</f>
        <v>17.709441603306434</v>
      </c>
      <c r="S9" s="8">
        <f t="shared" si="11"/>
        <v>2.4511639146801363</v>
      </c>
      <c r="T9" s="8">
        <f t="shared" si="12"/>
        <v>0.11264605543814221</v>
      </c>
      <c r="U9" s="8">
        <f t="shared" si="13"/>
        <v>6.3299569879694317E-2</v>
      </c>
      <c r="V9" s="192">
        <f t="shared" si="14"/>
        <v>19155.329042228528</v>
      </c>
      <c r="W9" s="193">
        <f t="shared" si="15"/>
        <v>19.15532904222853</v>
      </c>
      <c r="X9" s="193">
        <f t="shared" si="16"/>
        <v>1953.2689024360432</v>
      </c>
      <c r="Y9" s="8">
        <f t="shared" si="17"/>
        <v>0.81686796687777008</v>
      </c>
      <c r="Z9" s="193">
        <f t="shared" si="28"/>
        <v>2668.8040580700836</v>
      </c>
      <c r="AA9" s="188">
        <f t="shared" si="30"/>
        <v>16578811.712533619</v>
      </c>
      <c r="AB9" s="189">
        <f t="shared" si="18"/>
        <v>162.58260388071781</v>
      </c>
      <c r="AC9" s="189">
        <f t="shared" si="19"/>
        <v>16.578811712533618</v>
      </c>
      <c r="AD9" s="8">
        <f t="shared" si="31"/>
        <v>19.227499823914002</v>
      </c>
      <c r="AE9" s="8">
        <f t="shared" si="20"/>
        <v>2.4633959523718465</v>
      </c>
      <c r="AF9" s="8">
        <f t="shared" si="21"/>
        <v>0.1061225632650153</v>
      </c>
      <c r="AG9" s="8">
        <f t="shared" si="22"/>
        <v>5.9421684597326968E-2</v>
      </c>
      <c r="AH9" s="192">
        <f t="shared" si="23"/>
        <v>20923.979030795501</v>
      </c>
      <c r="AI9" s="193">
        <f t="shared" si="24"/>
        <v>20.9239790307955</v>
      </c>
      <c r="AJ9" s="193">
        <f t="shared" si="25"/>
        <v>2133.6181417702173</v>
      </c>
      <c r="AK9" s="8">
        <f t="shared" si="26"/>
        <v>0.73680599450981821</v>
      </c>
      <c r="AL9" s="196">
        <f t="shared" si="29"/>
        <v>2690.3258226573294</v>
      </c>
    </row>
    <row r="10" spans="1:38" ht="15.75" thickBot="1">
      <c r="A10" s="23">
        <v>15</v>
      </c>
      <c r="B10" s="23">
        <v>340118.6</v>
      </c>
      <c r="C10" s="188">
        <f>((2.76*(10^(-3)/98066.5^0.354)*1700*B10*(0.95*324.38*2818)^0.5)/(1442*0.652*0.96))^(1/(1-0.354))</f>
        <v>7732793.142552129</v>
      </c>
      <c r="D10" s="189">
        <f t="shared" si="0"/>
        <v>75.832795871408834</v>
      </c>
      <c r="E10" s="189">
        <f t="shared" si="1"/>
        <v>7.7327931425521292</v>
      </c>
      <c r="F10" s="8">
        <f t="shared" ref="F10:F23" si="33">2.76*D10^0.354</f>
        <v>12.775517000520249</v>
      </c>
      <c r="G10" s="8">
        <f t="shared" si="2"/>
        <v>2.3415166070411439</v>
      </c>
      <c r="H10" s="8">
        <f t="shared" si="3"/>
        <v>0.18167387984219782</v>
      </c>
      <c r="I10" s="8">
        <f t="shared" si="4"/>
        <v>0.10542727764004263</v>
      </c>
      <c r="J10" s="192">
        <f t="shared" si="5"/>
        <v>9276.6311394877775</v>
      </c>
      <c r="K10" s="193">
        <f t="shared" si="6"/>
        <v>9.2766311394877778</v>
      </c>
      <c r="L10" s="193">
        <f t="shared" si="7"/>
        <v>945.93807729356877</v>
      </c>
      <c r="M10" s="8">
        <f t="shared" si="8"/>
        <v>1.5971065232473762</v>
      </c>
      <c r="N10" s="193">
        <f t="shared" si="27"/>
        <v>1806.6981169801174</v>
      </c>
      <c r="O10" s="188">
        <f t="shared" ref="O10:O13" si="34">((2.89*(10^(-3)/98066.5^0.362)*1700*B10*(0.95*324.38*2818)^0.5)/(957*0.652*0.96))^(1/(1-0.362))</f>
        <v>16692896.652576551</v>
      </c>
      <c r="P10" s="189">
        <f t="shared" si="9"/>
        <v>163.70139495798981</v>
      </c>
      <c r="Q10" s="189">
        <f t="shared" si="10"/>
        <v>16.69289665257655</v>
      </c>
      <c r="R10" s="8">
        <f t="shared" si="32"/>
        <v>18.297207127433687</v>
      </c>
      <c r="S10" s="8">
        <f t="shared" si="11"/>
        <v>2.4643916246259354</v>
      </c>
      <c r="T10" s="8">
        <f t="shared" si="12"/>
        <v>0.10560192939065109</v>
      </c>
      <c r="U10" s="8">
        <f t="shared" si="13"/>
        <v>5.911303015925827E-2</v>
      </c>
      <c r="V10" s="192">
        <f t="shared" si="14"/>
        <v>21076.480069830141</v>
      </c>
      <c r="W10" s="193">
        <f t="shared" si="15"/>
        <v>21.07648006983014</v>
      </c>
      <c r="X10" s="193">
        <f t="shared" si="16"/>
        <v>2149.1686727205797</v>
      </c>
      <c r="Y10" s="8">
        <f t="shared" si="17"/>
        <v>0.9580356025379051</v>
      </c>
      <c r="Z10" s="193">
        <f t="shared" si="28"/>
        <v>2839.7146853395989</v>
      </c>
      <c r="AA10" s="188">
        <f t="shared" si="30"/>
        <v>18218915.127987813</v>
      </c>
      <c r="AB10" s="189">
        <f t="shared" si="18"/>
        <v>178.66652403988166</v>
      </c>
      <c r="AC10" s="189">
        <f t="shared" si="19"/>
        <v>18.218915127987813</v>
      </c>
      <c r="AD10" s="8">
        <f t="shared" si="31"/>
        <v>19.948064798797848</v>
      </c>
      <c r="AE10" s="8">
        <f t="shared" si="20"/>
        <v>2.4769494944518851</v>
      </c>
      <c r="AF10" s="8">
        <f t="shared" si="21"/>
        <v>9.9169065221288141E-2</v>
      </c>
      <c r="AG10" s="8">
        <f t="shared" si="22"/>
        <v>5.5309738890080694E-2</v>
      </c>
      <c r="AH10" s="192">
        <f t="shared" si="23"/>
        <v>23120.451851314967</v>
      </c>
      <c r="AI10" s="193">
        <f t="shared" si="24"/>
        <v>23.120451851314968</v>
      </c>
      <c r="AJ10" s="193">
        <f t="shared" si="25"/>
        <v>2357.5924752785872</v>
      </c>
      <c r="AK10" s="8">
        <f t="shared" si="26"/>
        <v>0.86682809945820316</v>
      </c>
      <c r="AL10" s="196">
        <f t="shared" si="29"/>
        <v>2863.3748072728272</v>
      </c>
    </row>
    <row r="11" spans="1:38" ht="15.75" thickBot="1">
      <c r="A11" s="23">
        <v>17.5</v>
      </c>
      <c r="B11" s="23">
        <v>359473.8</v>
      </c>
      <c r="C11" s="188">
        <f>((2.76*(10^(-3)/98066.5^0.354)*1700*B11*(0.95*324.38*2818)^0.5)/(1442*0.652*0.96))^(1/(1-0.354))</f>
        <v>8424519.775004996</v>
      </c>
      <c r="D11" s="189">
        <f t="shared" si="0"/>
        <v>82.616316851552739</v>
      </c>
      <c r="E11" s="189">
        <f t="shared" si="1"/>
        <v>8.4245197750049954</v>
      </c>
      <c r="F11" s="8">
        <f t="shared" si="33"/>
        <v>13.168926864387364</v>
      </c>
      <c r="G11" s="8">
        <f t="shared" si="2"/>
        <v>2.3563967260614538</v>
      </c>
      <c r="H11" s="8">
        <f t="shared" si="3"/>
        <v>0.17119911736504748</v>
      </c>
      <c r="I11" s="8">
        <f t="shared" si="4"/>
        <v>9.891339134288539E-2</v>
      </c>
      <c r="J11" s="192">
        <f t="shared" si="5"/>
        <v>10170.685334232779</v>
      </c>
      <c r="K11" s="193">
        <f t="shared" si="6"/>
        <v>10.170685334232779</v>
      </c>
      <c r="L11" s="193">
        <f t="shared" si="7"/>
        <v>1037.1047835317165</v>
      </c>
      <c r="M11" s="8">
        <f t="shared" si="8"/>
        <v>1.792793320102501</v>
      </c>
      <c r="N11" s="193">
        <f t="shared" si="27"/>
        <v>1902.7915340851384</v>
      </c>
      <c r="O11" s="188">
        <f t="shared" si="34"/>
        <v>18205685.393541921</v>
      </c>
      <c r="P11" s="189">
        <f t="shared" si="9"/>
        <v>178.53678466457785</v>
      </c>
      <c r="Q11" s="189">
        <f t="shared" si="10"/>
        <v>18.20568539354192</v>
      </c>
      <c r="R11" s="8">
        <f t="shared" si="32"/>
        <v>18.880925276245755</v>
      </c>
      <c r="S11" s="8">
        <f t="shared" si="11"/>
        <v>2.4768462924692463</v>
      </c>
      <c r="T11" s="8">
        <f t="shared" si="12"/>
        <v>9.9220924098859437E-2</v>
      </c>
      <c r="U11" s="8">
        <f t="shared" si="13"/>
        <v>5.5340321676158974E-2</v>
      </c>
      <c r="V11" s="192">
        <f t="shared" si="14"/>
        <v>23102.700234341803</v>
      </c>
      <c r="W11" s="193">
        <f t="shared" si="15"/>
        <v>23.102700234341803</v>
      </c>
      <c r="X11" s="193">
        <f t="shared" si="16"/>
        <v>2355.7823428958336</v>
      </c>
      <c r="Y11" s="8">
        <f t="shared" si="17"/>
        <v>1.0946684767568156</v>
      </c>
      <c r="Z11" s="193">
        <f t="shared" si="28"/>
        <v>3018.1641927972455</v>
      </c>
      <c r="AA11" s="188">
        <f t="shared" si="30"/>
        <v>19949278.853614274</v>
      </c>
      <c r="AB11" s="189">
        <f t="shared" si="18"/>
        <v>195.63559546979641</v>
      </c>
      <c r="AC11" s="189">
        <f t="shared" si="19"/>
        <v>19.949278853614274</v>
      </c>
      <c r="AD11" s="8">
        <f t="shared" si="31"/>
        <v>20.666579295437792</v>
      </c>
      <c r="AE11" s="8">
        <f t="shared" si="20"/>
        <v>2.4897002756015718</v>
      </c>
      <c r="AF11" s="8">
        <f t="shared" si="21"/>
        <v>9.2889730386875313E-2</v>
      </c>
      <c r="AG11" s="8">
        <f t="shared" si="22"/>
        <v>5.1616132655203678E-2</v>
      </c>
      <c r="AH11" s="192">
        <f t="shared" si="23"/>
        <v>25446.667889503613</v>
      </c>
      <c r="AI11" s="193">
        <f t="shared" si="24"/>
        <v>25.446667889503612</v>
      </c>
      <c r="AJ11" s="193">
        <f t="shared" si="25"/>
        <v>2594.7967246926837</v>
      </c>
      <c r="AK11" s="8">
        <f t="shared" si="26"/>
        <v>0.9921535395555634</v>
      </c>
      <c r="AL11" s="196">
        <f t="shared" si="29"/>
        <v>3043.3478278896409</v>
      </c>
    </row>
    <row r="12" spans="1:38" ht="15.75" thickBot="1">
      <c r="A12" s="23">
        <v>20</v>
      </c>
      <c r="B12" s="23">
        <v>377460.8</v>
      </c>
      <c r="C12" s="188">
        <f>((2.76*(10^(-3)/98066.5^0.354)*1700*B12*(0.95*324.38*2818)^0.5)/(1442*0.652*0.96))^(1/(1-0.354))</f>
        <v>9085935.1553345453</v>
      </c>
      <c r="D12" s="189">
        <f t="shared" si="0"/>
        <v>89.102585991061503</v>
      </c>
      <c r="E12" s="189">
        <f t="shared" si="1"/>
        <v>9.0859351553345444</v>
      </c>
      <c r="F12" s="8">
        <f t="shared" si="33"/>
        <v>13.526027040393457</v>
      </c>
      <c r="G12" s="8">
        <f t="shared" si="2"/>
        <v>2.3692566898569547</v>
      </c>
      <c r="H12" s="8">
        <f t="shared" si="3"/>
        <v>0.16242374485590172</v>
      </c>
      <c r="I12" s="8">
        <f t="shared" si="4"/>
        <v>9.3488355732645564E-2</v>
      </c>
      <c r="J12" s="192">
        <f t="shared" si="5"/>
        <v>11029.05752659397</v>
      </c>
      <c r="K12" s="193">
        <f t="shared" si="6"/>
        <v>11.02905752659397</v>
      </c>
      <c r="L12" s="193">
        <f t="shared" si="7"/>
        <v>1124.6329959867871</v>
      </c>
      <c r="M12" s="8">
        <f t="shared" si="8"/>
        <v>1.982634149635903</v>
      </c>
      <c r="N12" s="193">
        <f t="shared" si="27"/>
        <v>2012.2883852970833</v>
      </c>
      <c r="O12" s="188">
        <f t="shared" si="34"/>
        <v>19653644.88775228</v>
      </c>
      <c r="P12" s="189">
        <f t="shared" si="9"/>
        <v>192.73641663847587</v>
      </c>
      <c r="Q12" s="189">
        <f t="shared" si="10"/>
        <v>19.653644887752279</v>
      </c>
      <c r="R12" s="8">
        <f t="shared" si="32"/>
        <v>19.411304898653182</v>
      </c>
      <c r="S12" s="8">
        <f t="shared" si="11"/>
        <v>2.4876210046066234</v>
      </c>
      <c r="T12" s="8">
        <f t="shared" si="12"/>
        <v>9.3896416221318543E-2</v>
      </c>
      <c r="U12" s="8">
        <f t="shared" si="13"/>
        <v>5.2207000754064647E-2</v>
      </c>
      <c r="V12" s="192">
        <f t="shared" si="14"/>
        <v>25048.629745170685</v>
      </c>
      <c r="W12" s="193">
        <f t="shared" si="15"/>
        <v>25.048629745170686</v>
      </c>
      <c r="X12" s="193">
        <f t="shared" si="16"/>
        <v>2554.2087751150548</v>
      </c>
      <c r="Y12" s="8">
        <f t="shared" si="17"/>
        <v>1.2270772418688343</v>
      </c>
      <c r="Z12" s="193">
        <f t="shared" si="28"/>
        <v>3187.8290705442869</v>
      </c>
      <c r="AA12" s="188">
        <f t="shared" si="30"/>
        <v>21611696.616713017</v>
      </c>
      <c r="AB12" s="189">
        <f t="shared" si="18"/>
        <v>211.93834462628871</v>
      </c>
      <c r="AC12" s="189">
        <f t="shared" si="19"/>
        <v>21.611696616713019</v>
      </c>
      <c r="AD12" s="8">
        <f t="shared" si="31"/>
        <v>21.321887454981102</v>
      </c>
      <c r="AE12" s="8">
        <f t="shared" si="20"/>
        <v>2.5007227127029021</v>
      </c>
      <c r="AF12" s="8">
        <f t="shared" si="21"/>
        <v>8.7665179175941202E-2</v>
      </c>
      <c r="AG12" s="8">
        <f t="shared" si="22"/>
        <v>4.8557621073019322E-2</v>
      </c>
      <c r="AH12" s="192">
        <f t="shared" si="23"/>
        <v>27689.241190249839</v>
      </c>
      <c r="AI12" s="193">
        <f t="shared" si="24"/>
        <v>27.689241190249838</v>
      </c>
      <c r="AJ12" s="193">
        <f t="shared" si="25"/>
        <v>2823.4719241697762</v>
      </c>
      <c r="AK12" s="8">
        <f t="shared" si="26"/>
        <v>1.1131217929012869</v>
      </c>
      <c r="AL12" s="196">
        <f t="shared" si="29"/>
        <v>3213.8790556574718</v>
      </c>
    </row>
    <row r="13" spans="1:38" ht="15.75" thickBot="1">
      <c r="A13" s="23">
        <v>22.5</v>
      </c>
      <c r="B13" s="23">
        <v>394043.8</v>
      </c>
      <c r="C13" s="188">
        <f>((2.76*(10^(-3)/98066.5^0.354)*1700*B13*(0.95*324.38*2818)^0.5)/(1442*0.652*0.96))^(1/(1-0.354))</f>
        <v>9711239.2217471655</v>
      </c>
      <c r="D13" s="189">
        <f t="shared" si="0"/>
        <v>95.234724113946839</v>
      </c>
      <c r="E13" s="189">
        <f t="shared" si="1"/>
        <v>9.7112392217471655</v>
      </c>
      <c r="F13" s="8">
        <f t="shared" si="33"/>
        <v>13.848496582794416</v>
      </c>
      <c r="G13" s="8">
        <f t="shared" si="2"/>
        <v>2.3803793523615848</v>
      </c>
      <c r="H13" s="8">
        <f t="shared" si="3"/>
        <v>0.15504261351499585</v>
      </c>
      <c r="I13" s="8">
        <f t="shared" si="4"/>
        <v>8.8948313558644312E-2</v>
      </c>
      <c r="J13" s="192">
        <f t="shared" si="5"/>
        <v>11843.42953116826</v>
      </c>
      <c r="K13" s="193">
        <f t="shared" si="6"/>
        <v>11.84342953116826</v>
      </c>
      <c r="L13" s="193">
        <f t="shared" si="7"/>
        <v>1207.6745092932276</v>
      </c>
      <c r="M13" s="8">
        <f t="shared" si="8"/>
        <v>2.1674629979395568</v>
      </c>
      <c r="N13" s="193">
        <f t="shared" si="27"/>
        <v>2113.7477203632093</v>
      </c>
      <c r="O13" s="188">
        <f t="shared" si="34"/>
        <v>21023768.684439376</v>
      </c>
      <c r="P13" s="189">
        <f t="shared" si="9"/>
        <v>206.17274116925739</v>
      </c>
      <c r="Q13" s="189">
        <f t="shared" si="10"/>
        <v>21.023768684439375</v>
      </c>
      <c r="R13" s="8">
        <f t="shared" si="32"/>
        <v>19.89067647097556</v>
      </c>
      <c r="S13" s="8">
        <f t="shared" si="11"/>
        <v>2.4969481308683954</v>
      </c>
      <c r="T13" s="8">
        <f t="shared" si="12"/>
        <v>8.9433125530751362E-2</v>
      </c>
      <c r="U13" s="8">
        <f t="shared" si="13"/>
        <v>4.9591082401353952E-2</v>
      </c>
      <c r="V13" s="192">
        <f t="shared" si="14"/>
        <v>26895.321727685016</v>
      </c>
      <c r="W13" s="193">
        <f t="shared" si="15"/>
        <v>26.895321727685015</v>
      </c>
      <c r="X13" s="193">
        <f t="shared" si="16"/>
        <v>2742.515956572041</v>
      </c>
      <c r="Y13" s="8">
        <f t="shared" si="17"/>
        <v>1.3558681713324923</v>
      </c>
      <c r="Z13" s="193">
        <f t="shared" si="28"/>
        <v>3344.9548951021161</v>
      </c>
      <c r="AA13" s="188">
        <f t="shared" si="30"/>
        <v>23189946.769449949</v>
      </c>
      <c r="AB13" s="189">
        <f t="shared" si="18"/>
        <v>227.41569148662632</v>
      </c>
      <c r="AC13" s="189">
        <f t="shared" si="19"/>
        <v>23.18994676944995</v>
      </c>
      <c r="AD13" s="8">
        <f t="shared" si="31"/>
        <v>21.916131294494487</v>
      </c>
      <c r="AE13" s="8">
        <f t="shared" si="20"/>
        <v>2.5102578891799197</v>
      </c>
      <c r="AF13" s="8">
        <f t="shared" si="21"/>
        <v>8.3296868658809822E-2</v>
      </c>
      <c r="AG13" s="8">
        <f t="shared" si="22"/>
        <v>4.6010862673171747E-2</v>
      </c>
      <c r="AH13" s="192">
        <f t="shared" si="23"/>
        <v>29824.608106636693</v>
      </c>
      <c r="AI13" s="193">
        <f t="shared" si="24"/>
        <v>29.824608106636695</v>
      </c>
      <c r="AJ13" s="193">
        <f t="shared" si="25"/>
        <v>3041.215288633744</v>
      </c>
      <c r="AK13" s="8">
        <f t="shared" si="26"/>
        <v>1.230372200740578</v>
      </c>
      <c r="AL13" s="196">
        <f t="shared" si="29"/>
        <v>3371.7611432337353</v>
      </c>
    </row>
    <row r="14" spans="1:38" ht="15.75" thickBot="1">
      <c r="A14" s="23">
        <v>25</v>
      </c>
      <c r="B14" s="23">
        <v>409427</v>
      </c>
      <c r="C14" s="188">
        <f>((2.76*(10^(-3)/98066.5^0.354)*1700*B14*(0.95*324.38*2818)^0.5)/(1442*0.652*0.96))^(1/(1-0.354))</f>
        <v>10304353.578574302</v>
      </c>
      <c r="D14" s="189">
        <f t="shared" si="0"/>
        <v>101.05118902132565</v>
      </c>
      <c r="E14" s="189">
        <f t="shared" si="1"/>
        <v>10.304353578574302</v>
      </c>
      <c r="F14" s="8">
        <f t="shared" si="33"/>
        <v>14.142192601832869</v>
      </c>
      <c r="G14" s="8">
        <f t="shared" si="2"/>
        <v>2.3901309925976544</v>
      </c>
      <c r="H14" s="8">
        <f t="shared" si="3"/>
        <v>0.14873133249506332</v>
      </c>
      <c r="I14" s="8">
        <f t="shared" si="4"/>
        <v>8.508331954202604E-2</v>
      </c>
      <c r="J14" s="192">
        <f t="shared" si="5"/>
        <v>12618.249464086161</v>
      </c>
      <c r="K14" s="193">
        <f t="shared" si="6"/>
        <v>12.61824946408616</v>
      </c>
      <c r="L14" s="193">
        <f t="shared" si="7"/>
        <v>1286.6828978528658</v>
      </c>
      <c r="M14" s="8">
        <f t="shared" si="8"/>
        <v>2.3479880090881342</v>
      </c>
      <c r="N14" s="193">
        <f t="shared" si="27"/>
        <v>2207.9724366656133</v>
      </c>
      <c r="O14" s="188">
        <f>((2.89*(10^(-3)/98066.5^0.362)*1700*B14*(0.95*324.38*2818)^0.5)/(957*0.652*0.96))^(1/(1-0.362))</f>
        <v>22324385.052787915</v>
      </c>
      <c r="P14" s="189">
        <f t="shared" si="9"/>
        <v>218.92743067792259</v>
      </c>
      <c r="Q14" s="189">
        <f t="shared" si="10"/>
        <v>22.324385052787914</v>
      </c>
      <c r="R14" s="8">
        <f t="shared" si="32"/>
        <v>20.327618805830202</v>
      </c>
      <c r="S14" s="8">
        <f t="shared" si="11"/>
        <v>2.5051315733201398</v>
      </c>
      <c r="T14" s="8">
        <f t="shared" si="12"/>
        <v>8.5627983186940912E-2</v>
      </c>
      <c r="U14" s="8">
        <f t="shared" si="13"/>
        <v>4.736871460041276E-2</v>
      </c>
      <c r="V14" s="192">
        <f t="shared" si="14"/>
        <v>28652.775607612984</v>
      </c>
      <c r="W14" s="193">
        <f t="shared" si="15"/>
        <v>28.652775607612984</v>
      </c>
      <c r="X14" s="193">
        <f t="shared" si="16"/>
        <v>2921.7235287082963</v>
      </c>
      <c r="Y14" s="8">
        <f t="shared" si="17"/>
        <v>1.4815551988022717</v>
      </c>
      <c r="Z14" s="193">
        <f t="shared" si="28"/>
        <v>3490.8376178377912</v>
      </c>
      <c r="AA14" s="188">
        <f t="shared" si="30"/>
        <v>24692513.149574544</v>
      </c>
      <c r="AB14" s="189">
        <f t="shared" si="18"/>
        <v>242.15083407827518</v>
      </c>
      <c r="AC14" s="189">
        <f t="shared" si="19"/>
        <v>24.692513149574545</v>
      </c>
      <c r="AD14" s="8">
        <f t="shared" si="31"/>
        <v>22.459364054999551</v>
      </c>
      <c r="AE14" s="8">
        <f t="shared" si="20"/>
        <v>2.5186189396123488</v>
      </c>
      <c r="AF14" s="8">
        <f t="shared" si="21"/>
        <v>7.9581158108782524E-2</v>
      </c>
      <c r="AG14" s="8">
        <f t="shared" si="22"/>
        <v>4.3852289529925474E-2</v>
      </c>
      <c r="AH14" s="192">
        <f t="shared" si="23"/>
        <v>31862.8348069167</v>
      </c>
      <c r="AI14" s="193">
        <f t="shared" si="24"/>
        <v>31.862834806916702</v>
      </c>
      <c r="AJ14" s="193">
        <f t="shared" si="25"/>
        <v>3249.053265261296</v>
      </c>
      <c r="AK14" s="8">
        <f t="shared" si="26"/>
        <v>1.3444434282946864</v>
      </c>
      <c r="AL14" s="196">
        <f t="shared" si="29"/>
        <v>3518.3811689115128</v>
      </c>
    </row>
    <row r="15" spans="1:38" ht="15.75" thickBot="1">
      <c r="A15" s="23">
        <v>27.5</v>
      </c>
      <c r="B15" s="23">
        <v>426196.8</v>
      </c>
      <c r="C15" s="188">
        <f>((2.76*(10^(-3)/98066.5^0.354)*1700*B15*(0.95*324.38*2818)^0.5)/(1442*0.652*0.96))^(1/(1-0.354))</f>
        <v>10964981.733454766</v>
      </c>
      <c r="D15" s="189">
        <f t="shared" si="0"/>
        <v>107.52973811638418</v>
      </c>
      <c r="E15" s="189">
        <f t="shared" si="1"/>
        <v>10.964981733454765</v>
      </c>
      <c r="F15" s="8">
        <f t="shared" si="33"/>
        <v>14.456734401441777</v>
      </c>
      <c r="G15" s="8">
        <f t="shared" si="2"/>
        <v>2.4001987567656284</v>
      </c>
      <c r="H15" s="8">
        <f t="shared" si="3"/>
        <v>0.14237282565995107</v>
      </c>
      <c r="I15" s="8">
        <f t="shared" si="4"/>
        <v>8.1205512140733863E-2</v>
      </c>
      <c r="J15" s="192">
        <f t="shared" si="5"/>
        <v>13483.78355074074</v>
      </c>
      <c r="K15" s="193">
        <f t="shared" si="6"/>
        <v>13.483783550740741</v>
      </c>
      <c r="L15" s="193">
        <f t="shared" si="7"/>
        <v>1374.9414086690333</v>
      </c>
      <c r="M15" s="8">
        <f t="shared" si="8"/>
        <v>2.5247639921613665</v>
      </c>
      <c r="N15" s="193">
        <f t="shared" si="27"/>
        <v>2307.106273202995</v>
      </c>
      <c r="O15" s="188">
        <f>((2.89*(10^(-3)/98066.5^0.362)*1700*B15*(0.95*324.38*2818)^0.5)/(957*0.652*0.96))^(1/(1-0.362))</f>
        <v>23774153.461049832</v>
      </c>
      <c r="P15" s="189">
        <f t="shared" si="9"/>
        <v>233.1448020388043</v>
      </c>
      <c r="Q15" s="189">
        <f t="shared" si="10"/>
        <v>23.774153461049831</v>
      </c>
      <c r="R15" s="8">
        <f t="shared" si="32"/>
        <v>20.795930610607272</v>
      </c>
      <c r="S15" s="8">
        <f t="shared" si="11"/>
        <v>2.5135861087356552</v>
      </c>
      <c r="T15" s="8">
        <f t="shared" si="12"/>
        <v>8.1804985600314115E-2</v>
      </c>
      <c r="U15" s="8">
        <f t="shared" si="13"/>
        <v>4.5143319135998165E-2</v>
      </c>
      <c r="V15" s="192">
        <f t="shared" si="14"/>
        <v>30616.495836073926</v>
      </c>
      <c r="W15" s="193">
        <f t="shared" si="15"/>
        <v>30.616495836073927</v>
      </c>
      <c r="X15" s="193">
        <f t="shared" si="16"/>
        <v>3121.9640804044584</v>
      </c>
      <c r="Y15" s="8">
        <f t="shared" si="17"/>
        <v>1.6045405825739789</v>
      </c>
      <c r="Z15" s="193">
        <f t="shared" si="28"/>
        <v>3644.627047185661</v>
      </c>
      <c r="AA15" s="188">
        <f t="shared" si="30"/>
        <v>26372125.794772185</v>
      </c>
      <c r="AB15" s="189">
        <f t="shared" si="18"/>
        <v>258.62220742530263</v>
      </c>
      <c r="AC15" s="189">
        <f t="shared" si="19"/>
        <v>26.372125794772185</v>
      </c>
      <c r="AD15" s="8">
        <f t="shared" si="31"/>
        <v>23.043242722045907</v>
      </c>
      <c r="AE15" s="8">
        <f t="shared" si="20"/>
        <v>2.5272520831849739</v>
      </c>
      <c r="AF15" s="8">
        <f t="shared" si="21"/>
        <v>7.5856210394493417E-2</v>
      </c>
      <c r="AG15" s="8">
        <f t="shared" si="22"/>
        <v>4.1695636639570197E-2</v>
      </c>
      <c r="AH15" s="192">
        <f t="shared" si="23"/>
        <v>34146.827076226546</v>
      </c>
      <c r="AI15" s="193">
        <f t="shared" si="24"/>
        <v>34.146827076226543</v>
      </c>
      <c r="AJ15" s="193">
        <f t="shared" si="25"/>
        <v>3481.951956962821</v>
      </c>
      <c r="AK15" s="8">
        <f t="shared" si="26"/>
        <v>1.4557555738157208</v>
      </c>
      <c r="AL15" s="196">
        <f t="shared" si="29"/>
        <v>3673.8385446653597</v>
      </c>
    </row>
    <row r="16" spans="1:38" ht="15.75" thickBot="1">
      <c r="A16" s="23">
        <v>30</v>
      </c>
      <c r="B16" s="23">
        <v>443400.4</v>
      </c>
      <c r="C16" s="188">
        <f>((2.76*(10^(-3)/98066.5^0.354)*1700*B16*(0.95*324.38*2818)^0.5)/(1442*0.652*0.96))^(1/(1-0.354))</f>
        <v>11657662.197188294</v>
      </c>
      <c r="D16" s="189">
        <f t="shared" si="0"/>
        <v>114.32261298605655</v>
      </c>
      <c r="E16" s="189">
        <f t="shared" si="1"/>
        <v>11.657662197188294</v>
      </c>
      <c r="F16" s="8">
        <f t="shared" si="33"/>
        <v>14.7736518507886</v>
      </c>
      <c r="G16" s="8">
        <f t="shared" si="2"/>
        <v>2.4099723089481828</v>
      </c>
      <c r="H16" s="8">
        <f t="shared" si="3"/>
        <v>0.13635341775382995</v>
      </c>
      <c r="I16" s="8">
        <f t="shared" si="4"/>
        <v>7.7549651971687561E-2</v>
      </c>
      <c r="J16" s="192">
        <f t="shared" si="5"/>
        <v>14393.956057523885</v>
      </c>
      <c r="K16" s="193">
        <f t="shared" si="6"/>
        <v>14.393956057523885</v>
      </c>
      <c r="L16" s="193">
        <f t="shared" si="7"/>
        <v>1467.7516991857105</v>
      </c>
      <c r="M16" s="8">
        <f t="shared" si="8"/>
        <v>2.6976937791090103</v>
      </c>
      <c r="N16" s="193">
        <f t="shared" si="27"/>
        <v>2410.4457855195465</v>
      </c>
      <c r="O16" s="188">
        <f t="shared" ref="O16:O19" si="35">((2.89*(10^(-3)/98066.5^0.362)*1700*B16*(0.95*324.38*2818)^0.5)/(957*0.652*0.96))^(1/(1-0.362))</f>
        <v>25295437.940119322</v>
      </c>
      <c r="P16" s="189">
        <f t="shared" si="9"/>
        <v>248.06350647547112</v>
      </c>
      <c r="Q16" s="189">
        <f t="shared" si="10"/>
        <v>25.295437940119321</v>
      </c>
      <c r="R16" s="8">
        <f t="shared" si="32"/>
        <v>21.268144616411423</v>
      </c>
      <c r="S16" s="8">
        <f t="shared" si="11"/>
        <v>2.5217991363624548</v>
      </c>
      <c r="T16" s="8">
        <f t="shared" si="12"/>
        <v>7.8195838268540374E-2</v>
      </c>
      <c r="U16" s="8">
        <f t="shared" si="13"/>
        <v>4.3049362475684194E-2</v>
      </c>
      <c r="V16" s="192">
        <f t="shared" si="14"/>
        <v>32682.054343125539</v>
      </c>
      <c r="W16" s="193">
        <f t="shared" si="15"/>
        <v>32.682054343125543</v>
      </c>
      <c r="X16" s="193">
        <f t="shared" si="16"/>
        <v>3332.5890813685114</v>
      </c>
      <c r="Y16" s="8">
        <f t="shared" si="17"/>
        <v>1.7247564097380126</v>
      </c>
      <c r="Z16" s="193">
        <f t="shared" si="28"/>
        <v>3804.7437840382777</v>
      </c>
      <c r="AA16" s="188">
        <f t="shared" si="30"/>
        <v>28139653.059596658</v>
      </c>
      <c r="AB16" s="189">
        <f t="shared" si="18"/>
        <v>275.9557286768935</v>
      </c>
      <c r="AC16" s="189">
        <f t="shared" si="19"/>
        <v>28.139653059596657</v>
      </c>
      <c r="AD16" s="8">
        <f t="shared" si="31"/>
        <v>23.633677144015223</v>
      </c>
      <c r="AE16" s="8">
        <f t="shared" si="20"/>
        <v>2.5356338232574913</v>
      </c>
      <c r="AF16" s="8">
        <f t="shared" si="21"/>
        <v>7.2347504781281713E-2</v>
      </c>
      <c r="AG16" s="8">
        <f t="shared" si="22"/>
        <v>3.967101053105998E-2</v>
      </c>
      <c r="AH16" s="192">
        <f t="shared" si="23"/>
        <v>36556.274373160188</v>
      </c>
      <c r="AI16" s="193">
        <f t="shared" si="24"/>
        <v>36.556274373160186</v>
      </c>
      <c r="AJ16" s="193">
        <f t="shared" si="25"/>
        <v>3727.6432978311445</v>
      </c>
      <c r="AK16" s="8">
        <f t="shared" si="26"/>
        <v>1.5642472488006918</v>
      </c>
      <c r="AL16" s="196">
        <f t="shared" si="29"/>
        <v>3835.3489514381463</v>
      </c>
    </row>
    <row r="17" spans="1:38" ht="15.75" thickBot="1">
      <c r="A17" s="23">
        <v>32.5</v>
      </c>
      <c r="B17" s="23">
        <v>460796.4</v>
      </c>
      <c r="C17" s="188">
        <f>((2.76*(10^(-3)/98066.5^0.354)*1700*B17*(0.95*324.38*2818)^0.5)/(1442*0.652*0.96))^(1/(1-0.354))</f>
        <v>12373226.952045888</v>
      </c>
      <c r="D17" s="189">
        <f t="shared" si="0"/>
        <v>121.33990608928079</v>
      </c>
      <c r="E17" s="189">
        <f t="shared" si="1"/>
        <v>12.373226952045888</v>
      </c>
      <c r="F17" s="8">
        <f t="shared" si="33"/>
        <v>15.088510719800448</v>
      </c>
      <c r="G17" s="8">
        <f t="shared" si="2"/>
        <v>2.4193359230775497</v>
      </c>
      <c r="H17" s="8">
        <f t="shared" si="3"/>
        <v>0.1307283273626644</v>
      </c>
      <c r="I17" s="8">
        <f t="shared" si="4"/>
        <v>7.4146819077635567E-2</v>
      </c>
      <c r="J17" s="192">
        <f t="shared" si="5"/>
        <v>15336.837155677993</v>
      </c>
      <c r="K17" s="193">
        <f t="shared" si="6"/>
        <v>15.336837155677994</v>
      </c>
      <c r="L17" s="193">
        <f t="shared" si="7"/>
        <v>1563.897284764485</v>
      </c>
      <c r="M17" s="8">
        <f t="shared" si="8"/>
        <v>2.8669139573864992</v>
      </c>
      <c r="N17" s="193">
        <f t="shared" si="27"/>
        <v>2515.5250639345895</v>
      </c>
      <c r="O17" s="188">
        <f t="shared" si="35"/>
        <v>26868172.176446557</v>
      </c>
      <c r="P17" s="189">
        <f t="shared" si="9"/>
        <v>263.48676067414959</v>
      </c>
      <c r="Q17" s="189">
        <f t="shared" si="10"/>
        <v>26.868172176446556</v>
      </c>
      <c r="R17" s="8">
        <f t="shared" si="32"/>
        <v>21.737646790018434</v>
      </c>
      <c r="S17" s="8">
        <f t="shared" si="11"/>
        <v>2.5296727436742605</v>
      </c>
      <c r="T17" s="8">
        <f t="shared" si="12"/>
        <v>7.4832022884061711E-2</v>
      </c>
      <c r="U17" s="8">
        <f t="shared" si="13"/>
        <v>4.1103958746080416E-2</v>
      </c>
      <c r="V17" s="192">
        <f t="shared" si="14"/>
        <v>34822.43348240143</v>
      </c>
      <c r="W17" s="193">
        <f t="shared" si="15"/>
        <v>34.822433482401429</v>
      </c>
      <c r="X17" s="193">
        <f t="shared" si="16"/>
        <v>3550.8435422004741</v>
      </c>
      <c r="Y17" s="8">
        <f t="shared" si="17"/>
        <v>1.8423030996392507</v>
      </c>
      <c r="Z17" s="193">
        <f t="shared" si="28"/>
        <v>3967.4645486845598</v>
      </c>
      <c r="AA17" s="188">
        <f t="shared" si="30"/>
        <v>29972094.567438439</v>
      </c>
      <c r="AB17" s="189">
        <f t="shared" si="18"/>
        <v>293.92584118977015</v>
      </c>
      <c r="AC17" s="189">
        <f t="shared" si="19"/>
        <v>29.97209456743844</v>
      </c>
      <c r="AD17" s="8">
        <f t="shared" si="31"/>
        <v>24.222371301410664</v>
      </c>
      <c r="AE17" s="8">
        <f t="shared" si="20"/>
        <v>2.5436646960636247</v>
      </c>
      <c r="AF17" s="8">
        <f t="shared" si="21"/>
        <v>6.9084498318328968E-2</v>
      </c>
      <c r="AG17" s="8">
        <f t="shared" si="22"/>
        <v>3.77942452133593E-2</v>
      </c>
      <c r="AH17" s="192">
        <f t="shared" si="23"/>
        <v>39060.123308458395</v>
      </c>
      <c r="AI17" s="193">
        <f t="shared" si="24"/>
        <v>39.060123308458394</v>
      </c>
      <c r="AJ17" s="193">
        <f t="shared" si="25"/>
        <v>3982.9607737635029</v>
      </c>
      <c r="AK17" s="8">
        <f t="shared" si="26"/>
        <v>1.6700285025922998</v>
      </c>
      <c r="AL17" s="196">
        <f t="shared" si="29"/>
        <v>3999.3986769832295</v>
      </c>
    </row>
    <row r="18" spans="1:38" ht="15.75" thickBot="1">
      <c r="A18" s="23">
        <v>35</v>
      </c>
      <c r="B18" s="23">
        <v>454929.2</v>
      </c>
      <c r="C18" s="188">
        <f>((2.76*(10^(-3)/98066.5^0.354)*1700*B18*(0.95*324.38*2818)^0.5)/(1442*0.652*0.96))^(1/(1-0.354))</f>
        <v>12130201.602133079</v>
      </c>
      <c r="D18" s="189">
        <f t="shared" si="0"/>
        <v>118.95664154155834</v>
      </c>
      <c r="E18" s="189">
        <f t="shared" si="1"/>
        <v>12.130201602133079</v>
      </c>
      <c r="F18" s="8">
        <f t="shared" si="33"/>
        <v>14.982927563679288</v>
      </c>
      <c r="G18" s="8">
        <f t="shared" si="2"/>
        <v>2.4162332007300154</v>
      </c>
      <c r="H18" s="8">
        <f t="shared" si="3"/>
        <v>0.132576870382693</v>
      </c>
      <c r="I18" s="8">
        <f t="shared" si="4"/>
        <v>7.5263616600832722E-2</v>
      </c>
      <c r="J18" s="192">
        <f t="shared" si="5"/>
        <v>15016.320178743659</v>
      </c>
      <c r="K18" s="193">
        <f t="shared" si="6"/>
        <v>15.01632017874366</v>
      </c>
      <c r="L18" s="193">
        <f t="shared" si="7"/>
        <v>1531.2141686264911</v>
      </c>
      <c r="M18" s="8">
        <f t="shared" si="8"/>
        <v>3.0326029406417705</v>
      </c>
      <c r="N18" s="193">
        <f t="shared" si="27"/>
        <v>2514.5918886638015</v>
      </c>
      <c r="O18" s="188">
        <f t="shared" si="35"/>
        <v>26333897.330756128</v>
      </c>
      <c r="P18" s="189">
        <f t="shared" si="9"/>
        <v>258.24731425865957</v>
      </c>
      <c r="Q18" s="189">
        <f t="shared" si="10"/>
        <v>26.333897330756127</v>
      </c>
      <c r="R18" s="8">
        <f t="shared" si="32"/>
        <v>21.580167302898321</v>
      </c>
      <c r="S18" s="8">
        <f t="shared" si="11"/>
        <v>2.5270632046985431</v>
      </c>
      <c r="T18" s="8">
        <f t="shared" si="12"/>
        <v>7.5936497549659338E-2</v>
      </c>
      <c r="U18" s="8">
        <f t="shared" si="13"/>
        <v>4.1742042814754778E-2</v>
      </c>
      <c r="V18" s="192">
        <f t="shared" si="14"/>
        <v>34094.780251243603</v>
      </c>
      <c r="W18" s="193">
        <f t="shared" si="15"/>
        <v>34.094780251243606</v>
      </c>
      <c r="X18" s="193">
        <f t="shared" si="16"/>
        <v>3476.6447422193105</v>
      </c>
      <c r="Y18" s="8">
        <f t="shared" si="17"/>
        <v>1.9573109486557301</v>
      </c>
      <c r="Z18" s="193">
        <f t="shared" si="28"/>
        <v>3963.0102558577455</v>
      </c>
      <c r="AA18" s="188">
        <f t="shared" si="30"/>
        <v>29349027.167559829</v>
      </c>
      <c r="AB18" s="189">
        <f t="shared" si="18"/>
        <v>287.81563727275056</v>
      </c>
      <c r="AC18" s="189">
        <f t="shared" si="19"/>
        <v>29.349027167559829</v>
      </c>
      <c r="AD18" s="8">
        <f t="shared" si="31"/>
        <v>24.024731203843491</v>
      </c>
      <c r="AE18" s="8">
        <f t="shared" si="20"/>
        <v>2.5410035224739369</v>
      </c>
      <c r="AF18" s="8">
        <f t="shared" si="21"/>
        <v>7.0155089141849925E-2</v>
      </c>
      <c r="AG18" s="8">
        <f t="shared" si="22"/>
        <v>3.8409355999578655E-2</v>
      </c>
      <c r="AH18" s="192">
        <f t="shared" si="23"/>
        <v>38208.116624752496</v>
      </c>
      <c r="AI18" s="193">
        <f t="shared" si="24"/>
        <v>38.208116624752499</v>
      </c>
      <c r="AJ18" s="193">
        <f t="shared" si="25"/>
        <v>3896.081652226012</v>
      </c>
      <c r="AK18" s="8">
        <f t="shared" si="26"/>
        <v>1.7732388765433591</v>
      </c>
      <c r="AL18" s="196">
        <f t="shared" si="29"/>
        <v>3987.4419690234326</v>
      </c>
    </row>
    <row r="19" spans="1:38" ht="15.75" thickBot="1">
      <c r="A19" s="23">
        <v>37.5</v>
      </c>
      <c r="B19" s="23">
        <v>465522.4</v>
      </c>
      <c r="C19" s="188">
        <f>((2.76*(10^(-3)/98066.5^0.354)*1700*B19*(0.95*324.38*2818)^0.5)/(1442*0.652*0.96))^(1/(1-0.354))</f>
        <v>12570220.470264783</v>
      </c>
      <c r="D19" s="189">
        <f t="shared" si="0"/>
        <v>123.27175257472211</v>
      </c>
      <c r="E19" s="189">
        <f t="shared" si="1"/>
        <v>12.570220470264783</v>
      </c>
      <c r="F19" s="8">
        <f t="shared" si="33"/>
        <v>15.173116277687726</v>
      </c>
      <c r="G19" s="8">
        <f t="shared" si="2"/>
        <v>2.4217957434864643</v>
      </c>
      <c r="H19" s="8">
        <f t="shared" si="3"/>
        <v>0.12927365095185908</v>
      </c>
      <c r="I19" s="8">
        <f t="shared" si="4"/>
        <v>7.3268986256344898E-2</v>
      </c>
      <c r="J19" s="192">
        <f t="shared" si="5"/>
        <v>15596.855903974854</v>
      </c>
      <c r="K19" s="193">
        <f t="shared" si="6"/>
        <v>15.596855903974854</v>
      </c>
      <c r="L19" s="193">
        <f t="shared" si="7"/>
        <v>1590.4113965283159</v>
      </c>
      <c r="M19" s="8">
        <f t="shared" si="8"/>
        <v>3.1994595171936289</v>
      </c>
      <c r="N19" s="193">
        <f t="shared" si="27"/>
        <v>2554.0048792708208</v>
      </c>
      <c r="O19" s="188">
        <f t="shared" si="35"/>
        <v>27301345.838271551</v>
      </c>
      <c r="P19" s="189">
        <f t="shared" si="9"/>
        <v>267.73474316488569</v>
      </c>
      <c r="Q19" s="189">
        <f t="shared" si="10"/>
        <v>27.301345838271551</v>
      </c>
      <c r="R19" s="8">
        <f t="shared" si="32"/>
        <v>21.863865937632973</v>
      </c>
      <c r="S19" s="8">
        <f t="shared" si="11"/>
        <v>2.531741952393904</v>
      </c>
      <c r="T19" s="8">
        <f t="shared" si="12"/>
        <v>7.3963540979017695E-2</v>
      </c>
      <c r="U19" s="8">
        <f t="shared" si="13"/>
        <v>4.0602677877990601E-2</v>
      </c>
      <c r="V19" s="192">
        <f t="shared" si="14"/>
        <v>35412.790319913925</v>
      </c>
      <c r="W19" s="193">
        <f t="shared" si="15"/>
        <v>35.412790319913924</v>
      </c>
      <c r="X19" s="193">
        <f t="shared" si="16"/>
        <v>3611.0422289216231</v>
      </c>
      <c r="Y19" s="8">
        <f t="shared" si="17"/>
        <v>2.073158057944092</v>
      </c>
      <c r="Z19" s="193">
        <f t="shared" si="28"/>
        <v>4026.1255621627083</v>
      </c>
      <c r="AA19" s="188">
        <f t="shared" si="30"/>
        <v>30477676.688118719</v>
      </c>
      <c r="AB19" s="189">
        <f t="shared" si="18"/>
        <v>298.88390809353939</v>
      </c>
      <c r="AC19" s="189">
        <f t="shared" si="19"/>
        <v>30.47767668811872</v>
      </c>
      <c r="AD19" s="8">
        <f t="shared" si="31"/>
        <v>24.380910197907298</v>
      </c>
      <c r="AE19" s="8">
        <f t="shared" si="20"/>
        <v>2.5457745029834711</v>
      </c>
      <c r="AF19" s="8">
        <f t="shared" si="21"/>
        <v>6.8243208611918668E-2</v>
      </c>
      <c r="AG19" s="8">
        <f t="shared" si="22"/>
        <v>3.7311333278835811E-2</v>
      </c>
      <c r="AH19" s="192">
        <f t="shared" si="23"/>
        <v>39751.950559320045</v>
      </c>
      <c r="AI19" s="193">
        <f t="shared" si="24"/>
        <v>39.751950559320044</v>
      </c>
      <c r="AJ19" s="193">
        <f t="shared" si="25"/>
        <v>4053.5063985338652</v>
      </c>
      <c r="AK19" s="8">
        <f t="shared" si="26"/>
        <v>1.8772983134123156</v>
      </c>
      <c r="AL19" s="196">
        <f t="shared" si="29"/>
        <v>4056.2403447203005</v>
      </c>
    </row>
    <row r="20" spans="1:38" ht="15.75" thickBot="1">
      <c r="A20" s="23">
        <v>40</v>
      </c>
      <c r="B20" s="23">
        <v>453084.4</v>
      </c>
      <c r="C20" s="188">
        <f>((2.76*(10^(-3)/98066.5^0.354)*1700*B20*(0.95*324.38*2818)^0.5)/(1442*0.652*0.96))^(1/(1-0.354))</f>
        <v>12054141.329678616</v>
      </c>
      <c r="D20" s="189">
        <f t="shared" si="0"/>
        <v>118.21074507069278</v>
      </c>
      <c r="E20" s="189">
        <f t="shared" si="1"/>
        <v>12.054141329678616</v>
      </c>
      <c r="F20" s="8">
        <f t="shared" si="33"/>
        <v>14.949602458748847</v>
      </c>
      <c r="G20" s="8">
        <f t="shared" si="2"/>
        <v>2.415246178586496</v>
      </c>
      <c r="H20" s="8">
        <f t="shared" si="3"/>
        <v>0.13316811653627303</v>
      </c>
      <c r="I20" s="8">
        <f t="shared" si="4"/>
        <v>7.5621120082629029E-2</v>
      </c>
      <c r="J20" s="192">
        <f t="shared" si="5"/>
        <v>14916.067365618799</v>
      </c>
      <c r="K20" s="193">
        <f t="shared" si="6"/>
        <v>14.916067365618799</v>
      </c>
      <c r="L20" s="193">
        <f t="shared" si="7"/>
        <v>1520.991389272149</v>
      </c>
      <c r="M20" s="8">
        <f t="shared" si="8"/>
        <v>3.3642246158224638</v>
      </c>
      <c r="N20" s="193">
        <f t="shared" si="27"/>
        <v>2513.7324059843349</v>
      </c>
      <c r="O20" s="188">
        <f>((2.89*(10^(-3)/98066.5^0.362)*1700*B20*(0.95*324.38*2818)^0.5)/(957*0.652*0.96))^(1/(1-0.362))</f>
        <v>26166711.40036213</v>
      </c>
      <c r="P20" s="189">
        <f t="shared" si="9"/>
        <v>256.60778035436124</v>
      </c>
      <c r="Q20" s="189">
        <f t="shared" si="10"/>
        <v>26.166711400362129</v>
      </c>
      <c r="R20" s="8">
        <f t="shared" si="32"/>
        <v>21.530470359277306</v>
      </c>
      <c r="S20" s="8">
        <f t="shared" si="11"/>
        <v>2.5262331843723027</v>
      </c>
      <c r="T20" s="8">
        <f t="shared" si="12"/>
        <v>7.628995611308273E-2</v>
      </c>
      <c r="U20" s="8">
        <f t="shared" si="13"/>
        <v>4.1946383953169401E-2</v>
      </c>
      <c r="V20" s="192">
        <f t="shared" si="14"/>
        <v>33867.195406931205</v>
      </c>
      <c r="W20" s="193">
        <f t="shared" si="15"/>
        <v>33.867195406931202</v>
      </c>
      <c r="X20" s="193">
        <f t="shared" si="16"/>
        <v>3453.4379156447753</v>
      </c>
      <c r="Y20" s="8">
        <f t="shared" si="17"/>
        <v>2.187501971647702</v>
      </c>
      <c r="Z20" s="193">
        <f t="shared" si="28"/>
        <v>3960.8723546688548</v>
      </c>
      <c r="AA20" s="188">
        <f t="shared" si="30"/>
        <v>29154174.780984454</v>
      </c>
      <c r="AB20" s="189">
        <f t="shared" si="18"/>
        <v>285.90478811594113</v>
      </c>
      <c r="AC20" s="189">
        <f t="shared" si="19"/>
        <v>29.154174780984455</v>
      </c>
      <c r="AD20" s="8">
        <f t="shared" si="31"/>
        <v>23.962398375314251</v>
      </c>
      <c r="AE20" s="8">
        <f t="shared" si="20"/>
        <v>2.540156977122829</v>
      </c>
      <c r="AF20" s="8">
        <f t="shared" si="21"/>
        <v>7.0497867319705379E-2</v>
      </c>
      <c r="AG20" s="8">
        <f t="shared" si="22"/>
        <v>3.8606435896884596E-2</v>
      </c>
      <c r="AH20" s="192">
        <f t="shared" si="23"/>
        <v>37941.802802977392</v>
      </c>
      <c r="AI20" s="193">
        <f t="shared" si="24"/>
        <v>37.941802802977392</v>
      </c>
      <c r="AJ20" s="193">
        <f t="shared" si="25"/>
        <v>3868.9256318196049</v>
      </c>
      <c r="AK20" s="8">
        <f t="shared" si="26"/>
        <v>1.9798375533220127</v>
      </c>
      <c r="AL20" s="196">
        <f t="shared" si="29"/>
        <v>3983.3292077507281</v>
      </c>
    </row>
    <row r="21" spans="1:38" ht="15.75" thickBot="1">
      <c r="A21" s="23">
        <v>42.5</v>
      </c>
      <c r="B21" s="23">
        <v>461146.6</v>
      </c>
      <c r="C21" s="188">
        <f>((2.76*(10^(-3)/98066.5^0.354)*1700*B21*(0.95*324.38*2818)^0.5)/(1442*0.652*0.96))^(1/(1-0.354))</f>
        <v>12387786.501619902</v>
      </c>
      <c r="D21" s="189">
        <f t="shared" si="0"/>
        <v>121.48268649611079</v>
      </c>
      <c r="E21" s="189">
        <f t="shared" si="1"/>
        <v>12.387786501619901</v>
      </c>
      <c r="F21" s="8">
        <f t="shared" si="33"/>
        <v>15.094793467354174</v>
      </c>
      <c r="G21" s="8">
        <f t="shared" si="2"/>
        <v>2.4195193906525549</v>
      </c>
      <c r="H21" s="8">
        <f t="shared" si="3"/>
        <v>0.13061949840831846</v>
      </c>
      <c r="I21" s="8">
        <f t="shared" si="4"/>
        <v>7.4081114768287284E-2</v>
      </c>
      <c r="J21" s="192">
        <f t="shared" si="5"/>
        <v>15356.04839909172</v>
      </c>
      <c r="K21" s="193">
        <f t="shared" si="6"/>
        <v>15.356048399091721</v>
      </c>
      <c r="L21" s="193">
        <f t="shared" si="7"/>
        <v>1565.8562552553828</v>
      </c>
      <c r="M21" s="8">
        <f t="shared" si="8"/>
        <v>3.5314531429286773</v>
      </c>
      <c r="N21" s="193">
        <f t="shared" si="27"/>
        <v>2531.1806658606633</v>
      </c>
      <c r="O21" s="188">
        <f>((2.89*(10^(-3)/98066.5^0.362)*1700*B21*(0.95*324.38*2818)^0.5)/(957*0.652*0.96))^(1/(1-0.362))</f>
        <v>26900184.568369888</v>
      </c>
      <c r="P21" s="189">
        <f t="shared" si="9"/>
        <v>263.80069499740455</v>
      </c>
      <c r="Q21" s="189">
        <f t="shared" si="10"/>
        <v>26.900184568369887</v>
      </c>
      <c r="R21" s="8">
        <f t="shared" si="32"/>
        <v>21.747018872710054</v>
      </c>
      <c r="S21" s="8">
        <f t="shared" si="11"/>
        <v>2.5298270655622392</v>
      </c>
      <c r="T21" s="8">
        <f t="shared" si="12"/>
        <v>7.4767028725939239E-2</v>
      </c>
      <c r="U21" s="8">
        <f t="shared" si="13"/>
        <v>4.1066430456314425E-2</v>
      </c>
      <c r="V21" s="192">
        <f t="shared" si="14"/>
        <v>34866.049932827154</v>
      </c>
      <c r="W21" s="193">
        <f t="shared" si="15"/>
        <v>34.866049932827153</v>
      </c>
      <c r="X21" s="193">
        <f t="shared" si="16"/>
        <v>3555.2911116503851</v>
      </c>
      <c r="Y21" s="8">
        <f t="shared" si="17"/>
        <v>2.3036164809121393</v>
      </c>
      <c r="Z21" s="193">
        <f t="shared" si="28"/>
        <v>3990.4635263891082</v>
      </c>
      <c r="AA21" s="188">
        <f t="shared" si="30"/>
        <v>30009445.359132331</v>
      </c>
      <c r="AB21" s="189">
        <f t="shared" si="18"/>
        <v>294.29212733113502</v>
      </c>
      <c r="AC21" s="189">
        <f t="shared" si="19"/>
        <v>30.009445359132332</v>
      </c>
      <c r="AD21" s="8">
        <f t="shared" si="31"/>
        <v>24.234139202000271</v>
      </c>
      <c r="AE21" s="8">
        <f t="shared" si="20"/>
        <v>2.5438220563118428</v>
      </c>
      <c r="AF21" s="8">
        <f t="shared" si="21"/>
        <v>6.9021522334429958E-2</v>
      </c>
      <c r="AG21" s="8">
        <f t="shared" si="22"/>
        <v>3.7758082275542566E-2</v>
      </c>
      <c r="AH21" s="192">
        <f t="shared" si="23"/>
        <v>39111.218881429435</v>
      </c>
      <c r="AI21" s="193">
        <f t="shared" si="24"/>
        <v>39.111218881429437</v>
      </c>
      <c r="AJ21" s="193">
        <f t="shared" si="25"/>
        <v>3988.1709893393595</v>
      </c>
      <c r="AK21" s="8">
        <f t="shared" si="26"/>
        <v>2.0841676775793352</v>
      </c>
      <c r="AL21" s="196">
        <f t="shared" si="29"/>
        <v>4019.4756633681632</v>
      </c>
    </row>
    <row r="22" spans="1:38" ht="15.75" thickBot="1">
      <c r="A22" s="23">
        <v>45</v>
      </c>
      <c r="B22" s="23">
        <v>468789.6</v>
      </c>
      <c r="C22" s="188">
        <f>((2.76*(10^(-3)/98066.5^0.354)*1700*B22*(0.95*324.38*2818)^0.5)/(1442*0.652*0.96))^(1/(1-0.354))</f>
        <v>12707049.729157552</v>
      </c>
      <c r="D22" s="189">
        <f t="shared" si="0"/>
        <v>124.6135892264429</v>
      </c>
      <c r="E22" s="189">
        <f t="shared" si="1"/>
        <v>12.707049729157552</v>
      </c>
      <c r="F22" s="8">
        <f t="shared" si="33"/>
        <v>15.231379376572042</v>
      </c>
      <c r="G22" s="8">
        <f t="shared" si="2"/>
        <v>2.4234762121034428</v>
      </c>
      <c r="H22" s="8">
        <f t="shared" si="3"/>
        <v>0.12828537491346326</v>
      </c>
      <c r="I22" s="8">
        <f t="shared" si="4"/>
        <v>7.2673115226064913E-2</v>
      </c>
      <c r="J22" s="192">
        <f t="shared" si="5"/>
        <v>15777.571034057271</v>
      </c>
      <c r="K22" s="193">
        <f t="shared" si="6"/>
        <v>15.777571034057273</v>
      </c>
      <c r="L22" s="193">
        <f t="shared" si="7"/>
        <v>1608.8389183428201</v>
      </c>
      <c r="M22" s="8">
        <f t="shared" si="8"/>
        <v>3.6970731631963809</v>
      </c>
      <c r="N22" s="193">
        <f t="shared" si="27"/>
        <v>2578.1753407625533</v>
      </c>
      <c r="O22" s="188">
        <f t="shared" ref="O22" si="36">((2.89*(10^(-3)/98066.5^0.362)*1700*B22*(0.95*324.38*2818)^0.5)/(957*0.652*0.96))^(1/(1-0.362))</f>
        <v>27602273.082192834</v>
      </c>
      <c r="P22" s="189">
        <f t="shared" si="9"/>
        <v>270.68583132148632</v>
      </c>
      <c r="Q22" s="189">
        <f t="shared" si="10"/>
        <v>27.602273082192834</v>
      </c>
      <c r="R22" s="8">
        <f t="shared" si="32"/>
        <v>21.950800484609772</v>
      </c>
      <c r="S22" s="8">
        <f t="shared" si="11"/>
        <v>2.5331557610660531</v>
      </c>
      <c r="T22" s="8">
        <f t="shared" si="12"/>
        <v>7.337384791525367E-2</v>
      </c>
      <c r="U22" s="8">
        <f t="shared" si="13"/>
        <v>4.0262545881948178E-2</v>
      </c>
      <c r="V22" s="192">
        <f t="shared" si="14"/>
        <v>35823.119066434774</v>
      </c>
      <c r="W22" s="193">
        <f t="shared" si="15"/>
        <v>35.823119066434778</v>
      </c>
      <c r="X22" s="193">
        <f t="shared" si="16"/>
        <v>3652.8834512043541</v>
      </c>
      <c r="Y22" s="8">
        <f t="shared" si="17"/>
        <v>2.4185747662124388</v>
      </c>
      <c r="Z22" s="193">
        <f t="shared" si="28"/>
        <v>4063.1528287291194</v>
      </c>
      <c r="AA22" s="188">
        <f t="shared" si="30"/>
        <v>30829123.510416076</v>
      </c>
      <c r="AB22" s="189">
        <f t="shared" si="18"/>
        <v>302.33042407342174</v>
      </c>
      <c r="AC22" s="189">
        <f t="shared" si="19"/>
        <v>30.829123510416075</v>
      </c>
      <c r="AD22" s="8">
        <f t="shared" si="31"/>
        <v>24.490172809185438</v>
      </c>
      <c r="AE22" s="8">
        <f t="shared" si="20"/>
        <v>2.5472158749382467</v>
      </c>
      <c r="AF22" s="8">
        <f t="shared" si="21"/>
        <v>6.7672257083714535E-2</v>
      </c>
      <c r="AG22" s="8">
        <f t="shared" si="22"/>
        <v>3.6983827822939186E-2</v>
      </c>
      <c r="AH22" s="192">
        <f t="shared" si="23"/>
        <v>40233.108066582688</v>
      </c>
      <c r="AI22" s="193">
        <f t="shared" si="24"/>
        <v>40.233108066582687</v>
      </c>
      <c r="AJ22" s="193">
        <f t="shared" si="25"/>
        <v>4102.5700295494371</v>
      </c>
      <c r="AK22" s="8">
        <f t="shared" si="26"/>
        <v>2.1873279334135365</v>
      </c>
      <c r="AL22" s="196">
        <f t="shared" si="29"/>
        <v>4092.5905334747213</v>
      </c>
    </row>
    <row r="23" spans="1:38" ht="15.75" thickBot="1">
      <c r="A23" s="23">
        <v>47.5</v>
      </c>
      <c r="B23" s="23">
        <v>411636</v>
      </c>
      <c r="C23" s="188">
        <f>((2.76*(10^(-3)/98066.5^0.354)*1700*B23*(0.95*324.38*2818)^0.5)/(1442*0.652*0.96))^(1/(1-0.354))</f>
        <v>10390541.913500007</v>
      </c>
      <c r="D23" s="189">
        <f t="shared" si="0"/>
        <v>101.89640785602484</v>
      </c>
      <c r="E23" s="189">
        <f t="shared" si="1"/>
        <v>10.390541913500007</v>
      </c>
      <c r="F23" s="8">
        <f t="shared" si="33"/>
        <v>14.183954306191733</v>
      </c>
      <c r="G23" s="8">
        <f t="shared" si="2"/>
        <v>2.3914895835996282</v>
      </c>
      <c r="H23" s="8">
        <f t="shared" si="3"/>
        <v>0.14786394497404734</v>
      </c>
      <c r="I23" s="8">
        <f t="shared" si="4"/>
        <v>8.4553375307208287E-2</v>
      </c>
      <c r="J23" s="192">
        <f t="shared" si="5"/>
        <v>12731.024254469894</v>
      </c>
      <c r="K23" s="193">
        <f t="shared" si="6"/>
        <v>12.731024254469894</v>
      </c>
      <c r="L23" s="193">
        <f t="shared" si="7"/>
        <v>1298.1825432282951</v>
      </c>
      <c r="M23" s="8">
        <f t="shared" si="8"/>
        <v>3.861208002083353</v>
      </c>
      <c r="N23" s="193">
        <f t="shared" si="27"/>
        <v>2339.6268472881493</v>
      </c>
      <c r="O23" s="188">
        <f>((2.89*(10^(-3)/98066.5^0.362)*1700*B23*(0.95*324.38*2818)^0.5)/(957*0.652*0.96))^(1/(1-0.362))</f>
        <v>22513463.398422666</v>
      </c>
      <c r="P23" s="189">
        <f t="shared" si="9"/>
        <v>220.7816558361416</v>
      </c>
      <c r="Q23" s="189">
        <f t="shared" si="10"/>
        <v>22.513463398422665</v>
      </c>
      <c r="R23" s="8">
        <f t="shared" si="32"/>
        <v>20.389775486512317</v>
      </c>
      <c r="S23" s="8">
        <f t="shared" si="11"/>
        <v>2.5062721253119737</v>
      </c>
      <c r="T23" s="8">
        <f t="shared" si="12"/>
        <v>8.5105842639104076E-2</v>
      </c>
      <c r="U23" s="8">
        <f t="shared" si="13"/>
        <v>4.7064331781287688E-2</v>
      </c>
      <c r="V23" s="192">
        <f t="shared" si="14"/>
        <v>28908.608517208097</v>
      </c>
      <c r="W23" s="193">
        <f t="shared" si="15"/>
        <v>28.908608517208098</v>
      </c>
      <c r="X23" s="193">
        <f t="shared" si="16"/>
        <v>2947.8108104997095</v>
      </c>
      <c r="Y23" s="8">
        <f t="shared" si="17"/>
        <v>2.5324658291717514</v>
      </c>
      <c r="Z23" s="193">
        <f t="shared" si="28"/>
        <v>3686.1826308468717</v>
      </c>
      <c r="AA23" s="188">
        <f>((2.64*(10^(-3)/98066.5^0.39)*1700*B23*(0.95*324.38*2818)^0.5)/(957*0.652*0.96))^(1/(1-0.39))</f>
        <v>24911290.627659447</v>
      </c>
      <c r="AB23" s="189">
        <f t="shared" si="18"/>
        <v>244.29630823373651</v>
      </c>
      <c r="AC23" s="189">
        <f t="shared" si="19"/>
        <v>24.911290627659447</v>
      </c>
      <c r="AD23" s="8">
        <f t="shared" si="31"/>
        <v>22.53676205723729</v>
      </c>
      <c r="AE23" s="8">
        <f t="shared" si="20"/>
        <v>2.5197838771195729</v>
      </c>
      <c r="AF23" s="8">
        <f t="shared" si="21"/>
        <v>7.90719165895893E-2</v>
      </c>
      <c r="AG23" s="8">
        <f t="shared" si="22"/>
        <v>4.3557017011846E-2</v>
      </c>
      <c r="AH23" s="192">
        <f t="shared" si="23"/>
        <v>32160.009962199936</v>
      </c>
      <c r="AI23" s="193">
        <f t="shared" si="24"/>
        <v>32.160009962199936</v>
      </c>
      <c r="AJ23" s="193">
        <f t="shared" si="25"/>
        <v>3279.3562158455275</v>
      </c>
      <c r="AK23" s="8">
        <f t="shared" si="26"/>
        <v>2.2894096957383141</v>
      </c>
      <c r="AL23" s="196">
        <f t="shared" si="29"/>
        <v>3695.0085342818807</v>
      </c>
    </row>
    <row r="24" spans="1:38" ht="15.75" thickBot="1">
      <c r="A24" s="23">
        <v>50</v>
      </c>
      <c r="B24" s="23">
        <v>208396.32</v>
      </c>
      <c r="C24" s="188">
        <f>((1.286*(10^(-3)/98066.5^0.522)*1700*B24*(0.95*324.38*2818)^0.5)/(1442*0.652*0.96))^(1/(1-0.522))</f>
        <v>2606572.7115127305</v>
      </c>
      <c r="D24" s="189">
        <f t="shared" si="0"/>
        <v>25.561746281356314</v>
      </c>
      <c r="E24" s="189">
        <f t="shared" si="1"/>
        <v>2.6065727115127304</v>
      </c>
      <c r="F24" s="8">
        <f>1.286*D24^0.522</f>
        <v>6.9823758093565331</v>
      </c>
      <c r="G24" s="8">
        <f t="shared" si="2"/>
        <v>2.1199225825633459</v>
      </c>
      <c r="H24" s="8">
        <f t="shared" si="3"/>
        <v>0.37488758931736044</v>
      </c>
      <c r="I24" s="8">
        <f t="shared" si="4"/>
        <v>0.23240524314339928</v>
      </c>
      <c r="J24" s="192">
        <f t="shared" si="5"/>
        <v>2831.0432155849148</v>
      </c>
      <c r="K24" s="193">
        <f t="shared" si="6"/>
        <v>2.831043215584915</v>
      </c>
      <c r="L24" s="193">
        <f t="shared" si="7"/>
        <v>288.68147669319376</v>
      </c>
      <c r="M24" s="8">
        <f t="shared" si="8"/>
        <v>4.0374635050292893</v>
      </c>
      <c r="N24" s="193">
        <f t="shared" si="27"/>
        <v>1371.4500144065521</v>
      </c>
      <c r="O24" s="188">
        <f>((1.213*(10^(-3)/98066.5^0.55)*1700*B24*(0.95*324.38*2818)^0.5)/(957*0.652*0.96))^(1/(1-0.55))</f>
        <v>6982036.8518907866</v>
      </c>
      <c r="P24" s="189">
        <f t="shared" si="9"/>
        <v>68.470391693594777</v>
      </c>
      <c r="Q24" s="189">
        <f t="shared" si="10"/>
        <v>6.9820368518907863</v>
      </c>
      <c r="R24" s="8">
        <f>1.213*P24^0.55</f>
        <v>12.399019631865311</v>
      </c>
      <c r="S24" s="8">
        <f t="shared" si="11"/>
        <v>2.323345840632741</v>
      </c>
      <c r="T24" s="8">
        <f t="shared" si="12"/>
        <v>0.19492740216973053</v>
      </c>
      <c r="U24" s="8">
        <f t="shared" si="13"/>
        <v>0.11372764767271883</v>
      </c>
      <c r="V24" s="192">
        <f t="shared" si="14"/>
        <v>8310.9879272959024</v>
      </c>
      <c r="W24" s="193">
        <f t="shared" si="15"/>
        <v>8.3109879272959031</v>
      </c>
      <c r="X24" s="193">
        <f t="shared" si="16"/>
        <v>847.47143894636326</v>
      </c>
      <c r="Y24" s="8">
        <f t="shared" si="17"/>
        <v>2.6550763013495216</v>
      </c>
      <c r="Z24" s="193">
        <f t="shared" si="28"/>
        <v>2281.7561471633444</v>
      </c>
      <c r="AA24" s="188">
        <f>((1.131*(10^(-3)/98066.5^0.577)*1700*B24*(0.95*324.38*2818)^0.5)/(957*0.652*0.96))^(1/(1-0.577))</f>
        <v>7768926.4565586708</v>
      </c>
      <c r="AB24" s="189">
        <f t="shared" si="18"/>
        <v>76.187142635211075</v>
      </c>
      <c r="AC24" s="189">
        <f t="shared" si="19"/>
        <v>7.7689264565586704</v>
      </c>
      <c r="AD24" s="8">
        <f>1.131*AB24^0.577</f>
        <v>13.781875985946293</v>
      </c>
      <c r="AE24" s="8">
        <f t="shared" si="20"/>
        <v>2.3423346906202993</v>
      </c>
      <c r="AF24" s="8">
        <f t="shared" si="21"/>
        <v>0.18108910014271551</v>
      </c>
      <c r="AG24" s="8">
        <f t="shared" si="22"/>
        <v>0.10506253944138938</v>
      </c>
      <c r="AH24" s="192">
        <f t="shared" si="23"/>
        <v>9323.2346354917681</v>
      </c>
      <c r="AI24" s="193">
        <f t="shared" si="24"/>
        <v>9.3232346354917688</v>
      </c>
      <c r="AJ24" s="193">
        <f t="shared" si="25"/>
        <v>950.69023578109568</v>
      </c>
      <c r="AK24" s="8">
        <f t="shared" si="26"/>
        <v>2.4003395619564811</v>
      </c>
      <c r="AL24" s="196">
        <f t="shared" si="29"/>
        <v>2300.8653867587204</v>
      </c>
    </row>
    <row r="25" spans="1:38" ht="15.75" thickBot="1">
      <c r="A25" s="23">
        <v>52.5</v>
      </c>
      <c r="B25" s="23">
        <v>51486.984000000004</v>
      </c>
      <c r="C25" s="188">
        <f>((0.959*(10^(-3)/98066.5^0.592)*1700*B25*(0.95*324.38*2818)^0.5)/(1442*0.652*0.96))^(1/(1-0.592))</f>
        <v>72435.412975809828</v>
      </c>
      <c r="D25" s="189">
        <f t="shared" si="0"/>
        <v>0.71034874265922532</v>
      </c>
      <c r="E25" s="189">
        <f t="shared" si="1"/>
        <v>7.2435412975809826E-2</v>
      </c>
      <c r="F25" s="8">
        <f t="shared" ref="F25:F26" si="37">0.959*D25^0.592</f>
        <v>0.78323088374453431</v>
      </c>
      <c r="G25" s="8" t="e">
        <f>((1.222+1)/(1.222-1)*(1-(0.098/E25)^(0.222/1.222)))^0.5</f>
        <v>#NUM!</v>
      </c>
      <c r="H25" s="8" t="e">
        <f t="shared" si="3"/>
        <v>#NUM!</v>
      </c>
      <c r="I25" s="8" t="e">
        <f t="shared" si="4"/>
        <v>#NUM!</v>
      </c>
      <c r="J25" s="192" t="e">
        <f>0.85*0.92*E25*957*((H25-(0.098/E25))/I25)</f>
        <v>#NUM!</v>
      </c>
      <c r="K25" s="193" t="e">
        <f t="shared" si="6"/>
        <v>#NUM!</v>
      </c>
      <c r="L25" s="193" t="e">
        <f t="shared" si="7"/>
        <v>#NUM!</v>
      </c>
      <c r="M25" s="8">
        <f t="shared" si="8"/>
        <v>4.3955078252232767</v>
      </c>
      <c r="N25" s="193" t="e">
        <f t="shared" si="27"/>
        <v>#NUM!</v>
      </c>
      <c r="O25" s="188">
        <f>((1.065*(10^(-3)/98066.5^0.58)*1700*B25*(0.95*324.38*2818)^0.5)/(957*0.652*0.96))^(1/(1-0.58))</f>
        <v>248916.50958201432</v>
      </c>
      <c r="P25" s="189">
        <f t="shared" si="9"/>
        <v>2.4410370886924606</v>
      </c>
      <c r="Q25" s="189">
        <f t="shared" si="10"/>
        <v>0.24891650958201431</v>
      </c>
      <c r="R25" s="8">
        <f>1.065*P25^0.58</f>
        <v>1.7870748670188843</v>
      </c>
      <c r="S25" s="8">
        <f t="shared" si="11"/>
        <v>1.2486839951567126</v>
      </c>
      <c r="T25" s="8">
        <f t="shared" si="12"/>
        <v>1.1935026260709789</v>
      </c>
      <c r="U25" s="8">
        <f t="shared" si="13"/>
        <v>0.93559715533822452</v>
      </c>
      <c r="V25" s="192">
        <f t="shared" si="14"/>
        <v>159.24393515527402</v>
      </c>
      <c r="W25" s="193">
        <f t="shared" si="15"/>
        <v>0.15924393515527402</v>
      </c>
      <c r="X25" s="193">
        <f t="shared" si="16"/>
        <v>16.238104067783294</v>
      </c>
      <c r="Y25" s="8">
        <f t="shared" si="17"/>
        <v>2.8567051457442054</v>
      </c>
      <c r="Z25" s="193">
        <f t="shared" si="28"/>
        <v>853.92153109053083</v>
      </c>
      <c r="AA25" s="188">
        <f>((0.993*(10^(-3)/98066.5^0.606)*1700*B25*(0.95*324.38*2818)^0.5)/(957*0.652*0.96))^(1/(1-0.606))</f>
        <v>221610.58646241328</v>
      </c>
      <c r="AB25" s="189">
        <f t="shared" si="18"/>
        <v>2.173257457731625</v>
      </c>
      <c r="AC25" s="189">
        <f t="shared" si="19"/>
        <v>0.22161058646241327</v>
      </c>
      <c r="AD25" s="8">
        <f>0.993*AB25^0.606</f>
        <v>1.5894198141102194</v>
      </c>
      <c r="AE25" s="8">
        <f t="shared" si="20"/>
        <v>1.1742857996304472</v>
      </c>
      <c r="AF25" s="8">
        <f t="shared" si="21"/>
        <v>1.2201059235049156</v>
      </c>
      <c r="AG25" s="8">
        <f t="shared" si="22"/>
        <v>0.96762200689757605</v>
      </c>
      <c r="AH25" s="192">
        <f t="shared" si="23"/>
        <v>133.32787751836466</v>
      </c>
      <c r="AI25" s="193">
        <f t="shared" si="24"/>
        <v>0.13332787751836467</v>
      </c>
      <c r="AJ25" s="193">
        <f t="shared" si="25"/>
        <v>13.595443670547645</v>
      </c>
      <c r="AK25" s="8">
        <f t="shared" si="26"/>
        <v>2.5817372180193647</v>
      </c>
      <c r="AL25" s="196">
        <f t="shared" si="29"/>
        <v>857.69913713608514</v>
      </c>
    </row>
    <row r="26" spans="1:38" ht="15.75" thickBot="1">
      <c r="A26" s="24">
        <v>55</v>
      </c>
      <c r="B26" s="24">
        <v>0</v>
      </c>
      <c r="C26" s="190">
        <f t="shared" ref="C26" si="38">((2.76*(10^(-3)/98066.5^0.354)*1700*B26*(0.95*324.38*2818)^0.5)/(957*0.652*0.96))^(1/(1-0.354))</f>
        <v>0</v>
      </c>
      <c r="D26" s="191">
        <f t="shared" si="0"/>
        <v>0</v>
      </c>
      <c r="E26" s="191">
        <f t="shared" si="1"/>
        <v>0</v>
      </c>
      <c r="F26" s="61">
        <f t="shared" si="37"/>
        <v>0</v>
      </c>
      <c r="G26" s="61">
        <v>0</v>
      </c>
      <c r="H26" s="61">
        <v>0</v>
      </c>
      <c r="I26" s="61">
        <f t="shared" si="4"/>
        <v>0</v>
      </c>
      <c r="J26" s="192">
        <v>0</v>
      </c>
      <c r="K26" s="194">
        <v>0</v>
      </c>
      <c r="L26" s="194">
        <f t="shared" si="7"/>
        <v>0</v>
      </c>
      <c r="M26" s="61">
        <f t="shared" si="8"/>
        <v>7.5874146459142526</v>
      </c>
      <c r="N26" s="194" t="e">
        <f t="shared" si="27"/>
        <v>#NUM!</v>
      </c>
      <c r="O26" s="190">
        <f t="shared" ref="O26" si="39">((1.286*(10^(-3)/98066.5^0.522)*1700*B26*(0.95*324.38*2818)^0.5)/(957*0.652*0.96))^(1/(1-0.522))</f>
        <v>0</v>
      </c>
      <c r="P26" s="191">
        <f t="shared" si="9"/>
        <v>0</v>
      </c>
      <c r="Q26" s="191">
        <f t="shared" si="10"/>
        <v>0</v>
      </c>
      <c r="R26" s="61">
        <f t="shared" ref="R26" si="40">0.959*P26^0.592</f>
        <v>0</v>
      </c>
      <c r="S26" s="61">
        <v>0</v>
      </c>
      <c r="T26" s="61">
        <v>0</v>
      </c>
      <c r="U26" s="61">
        <f t="shared" si="13"/>
        <v>0</v>
      </c>
      <c r="V26" s="192">
        <v>0</v>
      </c>
      <c r="W26" s="194">
        <v>0</v>
      </c>
      <c r="X26" s="194">
        <f t="shared" si="16"/>
        <v>0</v>
      </c>
      <c r="Y26" s="61">
        <f t="shared" si="17"/>
        <v>4.2556392621253423</v>
      </c>
      <c r="Z26" s="194">
        <f t="shared" si="28"/>
        <v>111.38588685774916</v>
      </c>
      <c r="AA26" s="190">
        <f>((0.993*(10^(-3)/98066.5^0.606)*1700*B26*(0.95*324.38*2818)^0.5)/(957*0.652*0.96))^(1/(1-0.606))</f>
        <v>0</v>
      </c>
      <c r="AB26" s="191">
        <f t="shared" si="18"/>
        <v>0</v>
      </c>
      <c r="AC26" s="191">
        <f t="shared" si="19"/>
        <v>0</v>
      </c>
      <c r="AD26" s="61">
        <f t="shared" si="31"/>
        <v>0</v>
      </c>
      <c r="AE26" s="61">
        <v>0</v>
      </c>
      <c r="AF26" s="61">
        <v>0</v>
      </c>
      <c r="AG26" s="61">
        <f t="shared" si="22"/>
        <v>0</v>
      </c>
      <c r="AH26" s="192">
        <v>0</v>
      </c>
      <c r="AI26" s="194">
        <v>0</v>
      </c>
      <c r="AJ26" s="194">
        <f t="shared" si="25"/>
        <v>0</v>
      </c>
      <c r="AK26" s="61">
        <f t="shared" si="26"/>
        <v>4.1546382085607068</v>
      </c>
      <c r="AL26" s="197">
        <f t="shared" si="29"/>
        <v>104.85577530770524</v>
      </c>
    </row>
    <row r="27" spans="1:38">
      <c r="N27" s="198" t="e">
        <f>SUM(N4:N26)</f>
        <v>#NUM!</v>
      </c>
      <c r="Z27" s="198">
        <f>SUM(Z4:Z26)</f>
        <v>65886.200937013054</v>
      </c>
      <c r="AL27" s="198">
        <f>SUM(AL4:AL26)</f>
        <v>66285.1405734953</v>
      </c>
    </row>
    <row r="30" spans="1:38">
      <c r="A30" s="76" t="s">
        <v>126</v>
      </c>
      <c r="B30" s="76"/>
      <c r="D30" s="8"/>
    </row>
    <row r="31" spans="1:38">
      <c r="A31" s="76" t="s">
        <v>127</v>
      </c>
      <c r="B31" s="76">
        <v>1700</v>
      </c>
    </row>
    <row r="32" spans="1:38">
      <c r="A32" s="76" t="s">
        <v>128</v>
      </c>
      <c r="B32" s="76">
        <v>0.95</v>
      </c>
    </row>
    <row r="33" spans="1:2">
      <c r="A33" s="76" t="s">
        <v>129</v>
      </c>
      <c r="B33" s="76">
        <v>324.38</v>
      </c>
    </row>
    <row r="34" spans="1:2">
      <c r="A34" s="76" t="s">
        <v>130</v>
      </c>
      <c r="B34" s="76">
        <v>2818</v>
      </c>
    </row>
    <row r="35" spans="1:2">
      <c r="A35" s="76" t="s">
        <v>131</v>
      </c>
      <c r="B35" s="76">
        <v>0.96</v>
      </c>
    </row>
    <row r="36" spans="1:2">
      <c r="A36" s="76" t="s">
        <v>132</v>
      </c>
      <c r="B36" s="76">
        <v>957</v>
      </c>
    </row>
    <row r="37" spans="1:2">
      <c r="A37" s="76" t="s">
        <v>133</v>
      </c>
      <c r="B37" s="76">
        <v>0.65200000000000002</v>
      </c>
    </row>
    <row r="61" spans="22:24">
      <c r="X61" t="s">
        <v>146</v>
      </c>
    </row>
    <row r="62" spans="22:24">
      <c r="V62">
        <f>B4*10^(-6)</f>
        <v>0.22481798999999997</v>
      </c>
    </row>
    <row r="63" spans="22:24">
      <c r="V63">
        <f t="shared" ref="V63:V84" si="41">B5*10^(-6)</f>
        <v>0.2448786</v>
      </c>
    </row>
    <row r="64" spans="22:24">
      <c r="V64">
        <f t="shared" si="41"/>
        <v>0.25817400000000001</v>
      </c>
    </row>
    <row r="65" spans="22:22">
      <c r="V65">
        <f t="shared" si="41"/>
        <v>0.28498479999999998</v>
      </c>
    </row>
    <row r="66" spans="22:22">
      <c r="V66">
        <f t="shared" si="41"/>
        <v>0.30438219999999999</v>
      </c>
    </row>
    <row r="67" spans="22:22">
      <c r="V67">
        <f t="shared" si="41"/>
        <v>0.32109919999999997</v>
      </c>
    </row>
    <row r="68" spans="22:22">
      <c r="V68">
        <f t="shared" si="41"/>
        <v>0.34011859999999994</v>
      </c>
    </row>
    <row r="69" spans="22:22">
      <c r="V69">
        <f t="shared" si="41"/>
        <v>0.35947379999999995</v>
      </c>
    </row>
    <row r="70" spans="22:22">
      <c r="V70">
        <f t="shared" si="41"/>
        <v>0.37746079999999999</v>
      </c>
    </row>
    <row r="71" spans="22:22">
      <c r="V71">
        <f t="shared" si="41"/>
        <v>0.39404379999999994</v>
      </c>
    </row>
    <row r="72" spans="22:22">
      <c r="V72">
        <f t="shared" si="41"/>
        <v>0.40942699999999999</v>
      </c>
    </row>
    <row r="73" spans="22:22">
      <c r="V73">
        <f t="shared" si="41"/>
        <v>0.42619679999999999</v>
      </c>
    </row>
    <row r="74" spans="22:22">
      <c r="V74">
        <f t="shared" si="41"/>
        <v>0.44340040000000003</v>
      </c>
    </row>
    <row r="75" spans="22:22">
      <c r="V75">
        <f t="shared" si="41"/>
        <v>0.46079639999999999</v>
      </c>
    </row>
    <row r="76" spans="22:22">
      <c r="V76">
        <f t="shared" si="41"/>
        <v>0.45492919999999998</v>
      </c>
    </row>
    <row r="77" spans="22:22">
      <c r="V77">
        <f t="shared" si="41"/>
        <v>0.4655224</v>
      </c>
    </row>
    <row r="78" spans="22:22">
      <c r="V78">
        <f t="shared" si="41"/>
        <v>0.4530844</v>
      </c>
    </row>
    <row r="79" spans="22:22">
      <c r="V79">
        <f t="shared" si="41"/>
        <v>0.46114659999999996</v>
      </c>
    </row>
    <row r="80" spans="22:22">
      <c r="V80">
        <f t="shared" si="41"/>
        <v>0.46878959999999997</v>
      </c>
    </row>
    <row r="81" spans="22:22">
      <c r="V81">
        <f t="shared" si="41"/>
        <v>0.411636</v>
      </c>
    </row>
    <row r="82" spans="22:22">
      <c r="V82">
        <f t="shared" si="41"/>
        <v>0.20839632</v>
      </c>
    </row>
    <row r="83" spans="22:22">
      <c r="V83">
        <f t="shared" si="41"/>
        <v>5.1486984E-2</v>
      </c>
    </row>
    <row r="84" spans="22:22">
      <c r="V84">
        <f t="shared" si="41"/>
        <v>0</v>
      </c>
    </row>
  </sheetData>
  <mergeCells count="5">
    <mergeCell ref="AA2:AL2"/>
    <mergeCell ref="A2:A3"/>
    <mergeCell ref="B2:B3"/>
    <mergeCell ref="C2:N2"/>
    <mergeCell ref="O2:Z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ВБП</vt:lpstr>
      <vt:lpstr>Заряд 3 - var T</vt:lpstr>
      <vt:lpstr>ВБП_Опыт</vt:lpstr>
      <vt:lpstr>Апроксиммация</vt:lpstr>
      <vt:lpstr>Скорость_опытная</vt:lpstr>
      <vt:lpstr>ВБП_цикл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2019-03-01T05:52:09Z</cp:lastPrinted>
  <dcterms:created xsi:type="dcterms:W3CDTF">2019-02-08T12:11:41Z</dcterms:created>
  <dcterms:modified xsi:type="dcterms:W3CDTF">2019-05-24T13:51:02Z</dcterms:modified>
</cp:coreProperties>
</file>