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a.UFF\a.Projetos de Pesquisa\Empresas\Petrobras\CABIUNAS\otimizacao\otm_M\VERSÃO_14\"/>
    </mc:Choice>
  </mc:AlternateContent>
  <xr:revisionPtr revIDLastSave="0" documentId="13_ncr:1_{2ED06E29-A920-4620-A6D7-19D6FD966BF6}" xr6:coauthVersionLast="47" xr6:coauthVersionMax="47" xr10:uidLastSave="{00000000-0000-0000-0000-000000000000}"/>
  <bookViews>
    <workbookView xWindow="-120" yWindow="-120" windowWidth="29040" windowHeight="15720" tabRatio="810" firstSheet="22" activeTab="28" xr2:uid="{3120F587-FE31-49B8-B110-2714C13B4360}"/>
  </bookViews>
  <sheets>
    <sheet name="MAIN{K-101}" sheetId="1" r:id="rId1"/>
    <sheet name="MAIN{C-33001A B}" sheetId="3" r:id="rId2"/>
    <sheet name="URGN{C-20501ABC}" sheetId="5" r:id="rId3"/>
    <sheet name="UPGNII{C-21101AB}" sheetId="6" r:id="rId4"/>
    <sheet name="URL-I{C-20604}" sheetId="7" r:id="rId5"/>
    <sheet name="URL-II{C-20604} " sheetId="8" r:id="rId6"/>
    <sheet name="URL-III{C-20604} " sheetId="9" r:id="rId7"/>
    <sheet name="URL-I{C-21003AB}" sheetId="10" r:id="rId8"/>
    <sheet name="URL-II{C-21003AB}" sheetId="11" r:id="rId9"/>
    <sheet name="URL-III-{C-21003AB}" sheetId="24" r:id="rId10"/>
    <sheet name="URGN{C-20502{URGN}}" sheetId="4" r:id="rId11"/>
    <sheet name="UPCGNII-{C-29801A}" sheetId="13" r:id="rId12"/>
    <sheet name="UPCGNII-{C-29801B}" sheetId="14" r:id="rId13"/>
    <sheet name="UPCGNIII-{C-29801A} " sheetId="15" r:id="rId14"/>
    <sheet name="UPCGNIII-{C-29801B}" sheetId="16" r:id="rId15"/>
    <sheet name="UPCGNIV-{C-29801A} " sheetId="17" r:id="rId16"/>
    <sheet name="UPCGNIV-{C-29801B}" sheetId="18" r:id="rId17"/>
    <sheet name="URL-I-{C-20602} " sheetId="19" r:id="rId18"/>
    <sheet name="URL-II-{C-20602} " sheetId="20" r:id="rId19"/>
    <sheet name="URL-III-{C-20602} " sheetId="21" r:id="rId20"/>
    <sheet name="UPGN-II-{C-21102A.}" sheetId="22" r:id="rId21"/>
    <sheet name="UPGN-II-{C-21102B}" sheetId="23" r:id="rId22"/>
    <sheet name="MAIN-{K-100}" sheetId="25" r:id="rId23"/>
    <sheet name="CARGA_URL-1" sheetId="27" r:id="rId24"/>
    <sheet name="CARGA_URL-2" sheetId="28" r:id="rId25"/>
    <sheet name="CARGA_URL-3" sheetId="29" r:id="rId26"/>
    <sheet name="CARGA_URL-3 X REGENERAÇÃO" sheetId="30" r:id="rId27"/>
    <sheet name="UPGN-IICARGA_T01 X REBOILER T01" sheetId="31" r:id="rId28"/>
    <sheet name="UPGN-IICARGA_T02 X REBOILERT02" sheetId="32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2" l="1"/>
  <c r="G10" i="32"/>
  <c r="G11" i="32"/>
  <c r="G12" i="32"/>
  <c r="G13" i="32"/>
  <c r="G14" i="32"/>
  <c r="G15" i="32"/>
  <c r="G16" i="32"/>
  <c r="G17" i="32"/>
  <c r="G8" i="32"/>
  <c r="V21" i="32"/>
  <c r="T21" i="32"/>
  <c r="T20" i="32"/>
  <c r="V13" i="32"/>
  <c r="T13" i="32"/>
  <c r="G9" i="31"/>
  <c r="G10" i="31"/>
  <c r="G11" i="31"/>
  <c r="G12" i="31"/>
  <c r="G13" i="31"/>
  <c r="G14" i="31"/>
  <c r="G15" i="31"/>
  <c r="G16" i="31"/>
  <c r="G17" i="31"/>
  <c r="G8" i="31"/>
  <c r="V21" i="31"/>
  <c r="T21" i="31"/>
  <c r="T20" i="31"/>
  <c r="V13" i="31"/>
  <c r="T13" i="31"/>
  <c r="G8" i="30" a="1"/>
  <c r="G8" i="30" s="1"/>
  <c r="G9" i="30"/>
  <c r="G10" i="30"/>
  <c r="G11" i="30"/>
  <c r="G12" i="30"/>
  <c r="G13" i="30"/>
  <c r="G14" i="30"/>
  <c r="G15" i="30"/>
  <c r="G16" i="30"/>
  <c r="G17" i="30"/>
  <c r="AB21" i="30"/>
  <c r="Z21" i="30"/>
  <c r="Z20" i="30"/>
  <c r="AB13" i="30"/>
  <c r="Z13" i="30"/>
  <c r="G9" i="29"/>
  <c r="G10" i="29"/>
  <c r="G11" i="29"/>
  <c r="G12" i="29"/>
  <c r="G13" i="29"/>
  <c r="G14" i="29"/>
  <c r="G15" i="29"/>
  <c r="G16" i="29"/>
  <c r="G17" i="29"/>
  <c r="G8" i="29"/>
  <c r="AB21" i="29"/>
  <c r="Z21" i="29"/>
  <c r="Z20" i="29"/>
  <c r="AB13" i="29"/>
  <c r="Z13" i="29"/>
  <c r="G9" i="28"/>
  <c r="G10" i="28"/>
  <c r="G11" i="28"/>
  <c r="G12" i="28"/>
  <c r="G13" i="28"/>
  <c r="G14" i="28"/>
  <c r="G15" i="28"/>
  <c r="G16" i="28"/>
  <c r="G17" i="28"/>
  <c r="G8" i="28"/>
  <c r="AB21" i="28"/>
  <c r="Z21" i="28"/>
  <c r="Z20" i="28"/>
  <c r="AB13" i="28"/>
  <c r="Z13" i="28"/>
  <c r="G9" i="27"/>
  <c r="G10" i="27"/>
  <c r="G11" i="27"/>
  <c r="G12" i="27"/>
  <c r="G13" i="27"/>
  <c r="G14" i="27"/>
  <c r="G15" i="27"/>
  <c r="G16" i="27"/>
  <c r="G17" i="27"/>
  <c r="G8" i="27"/>
  <c r="AB21" i="27"/>
  <c r="Z21" i="27"/>
  <c r="Z20" i="27"/>
  <c r="AB13" i="27"/>
  <c r="Z13" i="27"/>
  <c r="G8" i="25"/>
  <c r="G9" i="25"/>
  <c r="G10" i="25"/>
  <c r="G11" i="25"/>
  <c r="G12" i="25"/>
  <c r="G13" i="25"/>
  <c r="G14" i="25"/>
  <c r="G15" i="25"/>
  <c r="G16" i="25"/>
  <c r="G17" i="25"/>
  <c r="AB21" i="25"/>
  <c r="Z21" i="25"/>
  <c r="Z20" i="25"/>
  <c r="AB13" i="25"/>
  <c r="Z13" i="25"/>
  <c r="AB21" i="23"/>
  <c r="AB13" i="23"/>
  <c r="Z21" i="23"/>
  <c r="Z20" i="23"/>
  <c r="Z13" i="23"/>
  <c r="G9" i="23"/>
  <c r="G10" i="23"/>
  <c r="G11" i="23"/>
  <c r="G12" i="23"/>
  <c r="G13" i="23"/>
  <c r="G14" i="23"/>
  <c r="G15" i="23"/>
  <c r="G16" i="23"/>
  <c r="G17" i="23"/>
  <c r="G8" i="23"/>
  <c r="G9" i="22"/>
  <c r="G10" i="22"/>
  <c r="G11" i="22"/>
  <c r="G12" i="22"/>
  <c r="G13" i="22"/>
  <c r="G14" i="22"/>
  <c r="G15" i="22"/>
  <c r="G16" i="22"/>
  <c r="G17" i="22"/>
  <c r="G8" i="22"/>
  <c r="G9" i="15"/>
  <c r="G10" i="15"/>
  <c r="G11" i="15"/>
  <c r="G12" i="15"/>
  <c r="G13" i="15"/>
  <c r="G14" i="15"/>
  <c r="G15" i="15"/>
  <c r="G16" i="15"/>
  <c r="G17" i="15"/>
  <c r="G8" i="15"/>
  <c r="G9" i="21"/>
  <c r="G10" i="21"/>
  <c r="G11" i="21"/>
  <c r="G12" i="21"/>
  <c r="G13" i="21"/>
  <c r="G14" i="21"/>
  <c r="G15" i="21"/>
  <c r="G16" i="21"/>
  <c r="G17" i="21"/>
  <c r="G8" i="21"/>
  <c r="G8" i="20"/>
  <c r="G9" i="20"/>
  <c r="G10" i="20"/>
  <c r="G11" i="20"/>
  <c r="G12" i="20"/>
  <c r="G13" i="20"/>
  <c r="G14" i="20"/>
  <c r="G15" i="20"/>
  <c r="G16" i="20"/>
  <c r="G17" i="20"/>
  <c r="G8" i="19"/>
  <c r="G9" i="19"/>
  <c r="G10" i="19"/>
  <c r="G11" i="19"/>
  <c r="G12" i="19"/>
  <c r="G13" i="19"/>
  <c r="G14" i="19"/>
  <c r="G15" i="19"/>
  <c r="G16" i="19"/>
  <c r="G17" i="19"/>
  <c r="G9" i="17"/>
  <c r="G10" i="17"/>
  <c r="G11" i="17"/>
  <c r="G12" i="17"/>
  <c r="G13" i="17"/>
  <c r="G14" i="17"/>
  <c r="G15" i="17"/>
  <c r="G16" i="17"/>
  <c r="G17" i="17"/>
  <c r="G8" i="17"/>
  <c r="G9" i="18"/>
  <c r="G10" i="18"/>
  <c r="G11" i="18"/>
  <c r="G12" i="18"/>
  <c r="G13" i="18"/>
  <c r="G14" i="18"/>
  <c r="G15" i="18"/>
  <c r="G16" i="18"/>
  <c r="G17" i="18"/>
  <c r="G8" i="18"/>
  <c r="G9" i="16"/>
  <c r="G10" i="16"/>
  <c r="G11" i="16"/>
  <c r="G12" i="16"/>
  <c r="G13" i="16"/>
  <c r="G14" i="16"/>
  <c r="G15" i="16"/>
  <c r="G16" i="16"/>
  <c r="G17" i="16"/>
  <c r="G18" i="16"/>
  <c r="G8" i="16"/>
  <c r="G9" i="14"/>
  <c r="G10" i="14"/>
  <c r="G11" i="14"/>
  <c r="G12" i="14"/>
  <c r="G13" i="14"/>
  <c r="G14" i="14"/>
  <c r="G15" i="14"/>
  <c r="G16" i="14"/>
  <c r="G17" i="14"/>
  <c r="G8" i="14"/>
  <c r="G9" i="13"/>
  <c r="G10" i="13"/>
  <c r="G11" i="13"/>
  <c r="G12" i="13"/>
  <c r="G13" i="13"/>
  <c r="G14" i="13"/>
  <c r="G15" i="13"/>
  <c r="G16" i="13"/>
  <c r="G17" i="13"/>
  <c r="G8" i="13"/>
  <c r="H9" i="4"/>
  <c r="H10" i="4"/>
  <c r="H11" i="4"/>
  <c r="H12" i="4"/>
  <c r="H13" i="4"/>
  <c r="H14" i="4"/>
  <c r="H15" i="4"/>
  <c r="H16" i="4"/>
  <c r="H17" i="4"/>
  <c r="H8" i="4"/>
  <c r="G9" i="4"/>
  <c r="G10" i="4"/>
  <c r="G11" i="4"/>
  <c r="G12" i="4"/>
  <c r="G13" i="4"/>
  <c r="G14" i="4"/>
  <c r="G15" i="4"/>
  <c r="G16" i="4"/>
  <c r="G17" i="4"/>
  <c r="G8" i="4"/>
  <c r="G9" i="24"/>
  <c r="G10" i="24"/>
  <c r="G11" i="24"/>
  <c r="G12" i="24"/>
  <c r="G13" i="24"/>
  <c r="G14" i="24"/>
  <c r="G15" i="24"/>
  <c r="G16" i="24"/>
  <c r="G17" i="24"/>
  <c r="G8" i="24"/>
  <c r="G18" i="1"/>
  <c r="G17" i="1"/>
  <c r="G8" i="1"/>
  <c r="G9" i="1"/>
  <c r="G10" i="1"/>
  <c r="G11" i="1"/>
  <c r="G12" i="1"/>
  <c r="G13" i="1"/>
  <c r="G14" i="1"/>
  <c r="G15" i="1"/>
  <c r="G16" i="1"/>
  <c r="G7" i="1"/>
  <c r="G18" i="3"/>
  <c r="G17" i="3"/>
  <c r="G8" i="3"/>
  <c r="G9" i="3"/>
  <c r="G10" i="3"/>
  <c r="G11" i="3"/>
  <c r="G12" i="3"/>
  <c r="G13" i="3"/>
  <c r="G14" i="3"/>
  <c r="G15" i="3"/>
  <c r="G16" i="3"/>
  <c r="G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<sst xmlns="http://schemas.openxmlformats.org/spreadsheetml/2006/main" count="495" uniqueCount="69">
  <si>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</si>
  <si>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</si>
  <si>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</si>
  <si>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</si>
  <si>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</si>
  <si>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</si>
  <si>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</si>
  <si>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</si>
  <si>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</si>
  <si>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</si>
  <si>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Maximum</t>
  </si>
  <si>
    <t>Minimum</t>
  </si>
  <si>
    <t>mM3/dia</t>
  </si>
  <si>
    <t>kJ/h</t>
  </si>
  <si>
    <t>Equação Original:</t>
  </si>
  <si>
    <t>=2.628e6*D6/3000000*2</t>
  </si>
  <si>
    <t>onde D6  é a vazão de  sucção [CARGA da URGN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</si>
  <si>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Propano da URGN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</si>
  <si>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Compressor de Gas de Venda da URGN</t>
    </r>
  </si>
  <si>
    <t>obs: CHECAR POIS O VALOR ESTÁ MAIS ELEVADO QUE O VALOR SIMULADO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</si>
  <si>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Propano da UPGN-II</t>
    </r>
  </si>
  <si>
    <t>=1.44e7*D7/5400000</t>
  </si>
  <si>
    <t>Equação</t>
  </si>
  <si>
    <t>onde D7 é a carga da UPGN-II</t>
  </si>
  <si>
    <t/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</si>
  <si>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Propano da URL-I</t>
    </r>
  </si>
  <si>
    <t>9702000*D11/5400000</t>
  </si>
  <si>
    <t>CARGA URL-II</t>
  </si>
  <si>
    <t>CARGA URL-I</t>
  </si>
  <si>
    <t>CARGA URL-III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</si>
  <si>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Propano da URL-III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</si>
  <si>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Peneira da URL-I</t>
    </r>
  </si>
  <si>
    <t>onde D11 é a carga da URL-I</t>
  </si>
  <si>
    <t>]</t>
  </si>
  <si>
    <t>onde D11 é a carga da URL-II</t>
  </si>
  <si>
    <t>onde D11 é a carga da URL-III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</si>
  <si>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Propano da URL-II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</si>
  <si>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Peneira da URL-II</t>
    </r>
  </si>
  <si>
    <t>if(D13=0,2.314e5*D11/5.4e6,C13*D11/D13)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</si>
  <si>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UPCGN-II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</si>
  <si>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UPCGN-III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</si>
  <si>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UPCGN-IV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</si>
  <si>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URL-1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</si>
  <si>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URL-2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</si>
  <si>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URL-3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</si>
  <si>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Residual da UPGN-2</t>
    </r>
  </si>
  <si>
    <t>EQUAÇÃO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</si>
  <si>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Compressor do gás do 295/299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</si>
  <si>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Compressor da corrente MIX para Gás de Venda</t>
    </r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</si>
  <si>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Compressor de Gás das Peneiras da URL-III</t>
    </r>
  </si>
  <si>
    <t>ERRO</t>
  </si>
  <si>
    <t>X+Y</t>
  </si>
  <si>
    <t>Y=0.044*(X+Y)</t>
  </si>
  <si>
    <t>Y=0.044X+0.044Y</t>
  </si>
  <si>
    <t>Y=0.044X/0.96</t>
  </si>
  <si>
    <t>Y=0.04583X</t>
  </si>
  <si>
    <t>F=1.04583X</t>
  </si>
  <si>
    <t>X</t>
  </si>
  <si>
    <t>Y</t>
  </si>
  <si>
    <t>F</t>
  </si>
  <si>
    <t>A</t>
  </si>
  <si>
    <t>B</t>
  </si>
  <si>
    <t>FB=1.04583*0.96X</t>
  </si>
  <si>
    <t>FB = 1.00039968*X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</si>
  <si>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Gás DE EXPEDIÇÃO</t>
    </r>
  </si>
  <si>
    <t>Descrição: CARGA URL2 X  REBOILER DA T01</t>
  </si>
  <si>
    <r>
      <rPr>
        <b/>
        <sz val="16"/>
        <color rgb="FFFF0000"/>
        <rFont val="Aptos Narrow"/>
        <family val="2"/>
        <scheme val="minor"/>
      </rPr>
      <t>Descrição:</t>
    </r>
    <r>
      <rPr>
        <sz val="16"/>
        <color theme="1"/>
        <rFont val="Aptos Narrow"/>
        <family val="2"/>
        <scheme val="minor"/>
      </rPr>
      <t xml:space="preserve"> CARGA URL1 X REBOILER DA T01</t>
    </r>
  </si>
  <si>
    <t>Descrição: CARGA URL3 X  REBOILER DA T01</t>
  </si>
  <si>
    <t>Descrição: CARGA URL3 X  Q_REGENERAÇÃO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</si>
</sst>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72" formatCode="0.000000E+00"/>
  </numFmts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64" fontId="3" fillId="0" borderId="0" xfId="0" applyNumberFormat="1" applyFont="1"/>
    <xf numFmtId="17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QCOMP-MIX [compressor gás gás MIX - K-101]</a:t>
            </a:r>
          </a:p>
        </c:rich>
      </c:tx>
      <c:layout>
        <c:manualLayout>
          <c:xMode val="edge"/>
          <c:yMode val="edge"/>
          <c:x val="0.21148496887593274"/>
          <c:y val="2.1230210709244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96476366882332"/>
                  <c:y val="-3.3100023904882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'MAIN{K-101}'!$E$7:$E$18</c:f>
              <c:numCache>
                <c:formatCode>0.00E+00</c:formatCode>
                <c:ptCount val="12"/>
                <c:pt idx="0">
                  <c:v>1578748.03090545</c:v>
                </c:pt>
                <c:pt idx="1">
                  <c:v>1589887.1385826301</c:v>
                </c:pt>
                <c:pt idx="2">
                  <c:v>1601026.2462597999</c:v>
                </c:pt>
                <c:pt idx="3">
                  <c:v>1612165.35393697</c:v>
                </c:pt>
                <c:pt idx="4">
                  <c:v>1623304.4616141401</c:v>
                </c:pt>
                <c:pt idx="5">
                  <c:v>1634443.5692913099</c:v>
                </c:pt>
                <c:pt idx="6">
                  <c:v>1645582.67696849</c:v>
                </c:pt>
                <c:pt idx="7">
                  <c:v>1656721.7846456601</c:v>
                </c:pt>
                <c:pt idx="8">
                  <c:v>1667860.8923228299</c:v>
                </c:pt>
                <c:pt idx="9">
                  <c:v>1679000</c:v>
                </c:pt>
                <c:pt idx="10">
                  <c:v>1679000</c:v>
                </c:pt>
                <c:pt idx="11">
                  <c:v>1578748.03090545</c:v>
                </c:pt>
              </c:numCache>
            </c:numRef>
          </c:xVal>
          <c:yVal>
            <c:numRef>
              <c:f>'MAIN{K-101}'!$F$7:$F$18</c:f>
              <c:numCache>
                <c:formatCode>0.0000E+00</c:formatCode>
                <c:ptCount val="12"/>
                <c:pt idx="0">
                  <c:v>791711.80558043998</c:v>
                </c:pt>
                <c:pt idx="1">
                  <c:v>797297.85406885797</c:v>
                </c:pt>
                <c:pt idx="2">
                  <c:v>802883.90255727596</c:v>
                </c:pt>
                <c:pt idx="3">
                  <c:v>808469.95104579802</c:v>
                </c:pt>
                <c:pt idx="4">
                  <c:v>814055.99953421601</c:v>
                </c:pt>
                <c:pt idx="5">
                  <c:v>819642.048022634</c:v>
                </c:pt>
                <c:pt idx="6">
                  <c:v>825228.09651105199</c:v>
                </c:pt>
                <c:pt idx="7">
                  <c:v>830814.14499946998</c:v>
                </c:pt>
                <c:pt idx="8">
                  <c:v>836400.19348794001</c:v>
                </c:pt>
                <c:pt idx="9">
                  <c:v>841986.241976358</c:v>
                </c:pt>
                <c:pt idx="10">
                  <c:v>841986.241976358</c:v>
                </c:pt>
                <c:pt idx="11">
                  <c:v>791711.80558043998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1-4D6A-8868-FC7E74226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Qk100 [compressor gás 295/299 - C-33001A B]</a:t>
            </a:r>
          </a:p>
        </c:rich>
      </c:tx>
      <c:layout>
        <c:manualLayout>
          <c:xMode val="edge"/>
          <c:yMode val="edge"/>
          <c:x val="0.21529109443042452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73757573478076"/>
                  <c:y val="-2.890031090676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'MAIN{C-33001A B}'!$E$7:$E$16</c:f>
              <c:numCache>
                <c:formatCode>0.0000E+00</c:formatCode>
                <c:ptCount val="10"/>
                <c:pt idx="0">
                  <c:v>2452830.8088101801</c:v>
                </c:pt>
                <c:pt idx="1">
                  <c:v>2463960.71894238</c:v>
                </c:pt>
                <c:pt idx="2">
                  <c:v>2475090.62907458</c:v>
                </c:pt>
                <c:pt idx="3">
                  <c:v>2486220.5392067898</c:v>
                </c:pt>
                <c:pt idx="4">
                  <c:v>2497350.4493389898</c:v>
                </c:pt>
                <c:pt idx="5">
                  <c:v>2508480.3594711898</c:v>
                </c:pt>
                <c:pt idx="6">
                  <c:v>2519610.2696033898</c:v>
                </c:pt>
                <c:pt idx="7">
                  <c:v>2530740.1797355898</c:v>
                </c:pt>
                <c:pt idx="8">
                  <c:v>2541870.0898678</c:v>
                </c:pt>
                <c:pt idx="9">
                  <c:v>2553000</c:v>
                </c:pt>
              </c:numCache>
            </c:numRef>
          </c:xVal>
          <c:yVal>
            <c:numRef>
              <c:f>'MAIN{C-33001A B}'!$F$7:$F$16</c:f>
              <c:numCache>
                <c:formatCode>0.0000E+00</c:formatCode>
                <c:ptCount val="10"/>
                <c:pt idx="0">
                  <c:v>4485735.67838977</c:v>
                </c:pt>
                <c:pt idx="1">
                  <c:v>4506090.0521191396</c:v>
                </c:pt>
                <c:pt idx="2">
                  <c:v>4526444.4258484105</c:v>
                </c:pt>
                <c:pt idx="3">
                  <c:v>4546798.7995777205</c:v>
                </c:pt>
                <c:pt idx="4">
                  <c:v>4567153.1733069904</c:v>
                </c:pt>
                <c:pt idx="5">
                  <c:v>4587507.5470363498</c:v>
                </c:pt>
                <c:pt idx="6">
                  <c:v>4607861.92076567</c:v>
                </c:pt>
                <c:pt idx="7">
                  <c:v>4628216.2944949297</c:v>
                </c:pt>
                <c:pt idx="8">
                  <c:v>4648570.6682243003</c:v>
                </c:pt>
                <c:pt idx="9">
                  <c:v>4668925.0419535702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0-4521-83E5-FAEA3C04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Q_C21003AB-2 [Compressor de Gás Peneiras da URL-III]</a:t>
            </a:r>
          </a:p>
        </c:rich>
      </c:tx>
      <c:layout>
        <c:manualLayout>
          <c:xMode val="edge"/>
          <c:yMode val="edge"/>
          <c:x val="0.13916858334058843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042010035883972"/>
                  <c:y val="-5.97478787103017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'URL-III-{C-21003AB}'!$E$8:$E$17</c:f>
              <c:numCache>
                <c:formatCode>0.0000E+00</c:formatCode>
                <c:ptCount val="10"/>
                <c:pt idx="0">
                  <c:v>436499.36460801098</c:v>
                </c:pt>
                <c:pt idx="1">
                  <c:v>393166.10187378799</c:v>
                </c:pt>
                <c:pt idx="2">
                  <c:v>349832.83913956402</c:v>
                </c:pt>
                <c:pt idx="3">
                  <c:v>306499.57640534098</c:v>
                </c:pt>
                <c:pt idx="4">
                  <c:v>263166.31367111701</c:v>
                </c:pt>
                <c:pt idx="5">
                  <c:v>219833.050936894</c:v>
                </c:pt>
                <c:pt idx="6">
                  <c:v>176499.78820267</c:v>
                </c:pt>
                <c:pt idx="7">
                  <c:v>133166.52546844701</c:v>
                </c:pt>
                <c:pt idx="8">
                  <c:v>89833.262734223506</c:v>
                </c:pt>
                <c:pt idx="9">
                  <c:v>46500</c:v>
                </c:pt>
              </c:numCache>
            </c:numRef>
          </c:xVal>
          <c:yVal>
            <c:numRef>
              <c:f>'URL-III-{C-21003AB}'!$F$8:$F$17</c:f>
              <c:numCache>
                <c:formatCode>00,000E+00</c:formatCode>
                <c:ptCount val="10"/>
                <c:pt idx="0">
                  <c:v>169007.399315533</c:v>
                </c:pt>
                <c:pt idx="1">
                  <c:v>152229.27171127699</c:v>
                </c:pt>
                <c:pt idx="2">
                  <c:v>135451.14410702701</c:v>
                </c:pt>
                <c:pt idx="3">
                  <c:v>118673.016502771</c:v>
                </c:pt>
                <c:pt idx="4">
                  <c:v>101894.888898522</c:v>
                </c:pt>
                <c:pt idx="5">
                  <c:v>85116.761294272903</c:v>
                </c:pt>
                <c:pt idx="6">
                  <c:v>68338.633690023606</c:v>
                </c:pt>
                <c:pt idx="7">
                  <c:v>51560.506085770998</c:v>
                </c:pt>
                <c:pt idx="8">
                  <c:v>34782.378481519998</c:v>
                </c:pt>
                <c:pt idx="9">
                  <c:v>18004.250877270701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91-45B9-AB77-F56B52E67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C-20502[Compressor para GR da URGN]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99983202099424"/>
                  <c:y val="-5.97478787103017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'URGN{C-20502{URGN}}'!$E$8:$E$17</c:f>
              <c:numCache>
                <c:formatCode>0.0000E+00</c:formatCode>
                <c:ptCount val="10"/>
                <c:pt idx="0">
                  <c:v>125739.89413960101</c:v>
                </c:pt>
                <c:pt idx="1">
                  <c:v>126846.572568534</c:v>
                </c:pt>
                <c:pt idx="2">
                  <c:v>127953.250997467</c:v>
                </c:pt>
                <c:pt idx="3">
                  <c:v>129059.92942640099</c:v>
                </c:pt>
                <c:pt idx="4">
                  <c:v>130166.607855334</c:v>
                </c:pt>
                <c:pt idx="5">
                  <c:v>131273.286284267</c:v>
                </c:pt>
                <c:pt idx="6">
                  <c:v>132379.9647132</c:v>
                </c:pt>
                <c:pt idx="7">
                  <c:v>133486.64314213299</c:v>
                </c:pt>
                <c:pt idx="8">
                  <c:v>134593.321571067</c:v>
                </c:pt>
                <c:pt idx="9">
                  <c:v>135700</c:v>
                </c:pt>
              </c:numCache>
            </c:numRef>
          </c:xVal>
          <c:yVal>
            <c:numRef>
              <c:f>'URGN{C-20502{URGN}}'!$F$8:$F$17</c:f>
              <c:numCache>
                <c:formatCode>0.0000E+00</c:formatCode>
                <c:ptCount val="10"/>
                <c:pt idx="0">
                  <c:v>488464.12253783399</c:v>
                </c:pt>
                <c:pt idx="1">
                  <c:v>492763.25696465402</c:v>
                </c:pt>
                <c:pt idx="2">
                  <c:v>497062.39139147801</c:v>
                </c:pt>
                <c:pt idx="3">
                  <c:v>501361.52581829799</c:v>
                </c:pt>
                <c:pt idx="4">
                  <c:v>505660.66024511802</c:v>
                </c:pt>
                <c:pt idx="5">
                  <c:v>509959.79467194102</c:v>
                </c:pt>
                <c:pt idx="6">
                  <c:v>514258.929098761</c:v>
                </c:pt>
                <c:pt idx="7">
                  <c:v>518558.06352558499</c:v>
                </c:pt>
                <c:pt idx="8">
                  <c:v>522857.19795240101</c:v>
                </c:pt>
                <c:pt idx="9">
                  <c:v>527156.33237922494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F0-4B8E-ACB7-6679FE71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C-29801A[Compressor para GR da UPCGN-II]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634630085148925"/>
                  <c:y val="-4.40441536320462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'UPCGNII-{C-29801A}'!$E$8:$E$17</c:f>
              <c:numCache>
                <c:formatCode>0.0000E+00</c:formatCode>
                <c:ptCount val="10"/>
                <c:pt idx="0">
                  <c:v>124099.47650064201</c:v>
                </c:pt>
                <c:pt idx="1">
                  <c:v>125210.645778349</c:v>
                </c:pt>
                <c:pt idx="2">
                  <c:v>126321.815056055</c:v>
                </c:pt>
                <c:pt idx="3">
                  <c:v>127432.984333762</c:v>
                </c:pt>
                <c:pt idx="4">
                  <c:v>128544.15361146801</c:v>
                </c:pt>
                <c:pt idx="5">
                  <c:v>129655.322889174</c:v>
                </c:pt>
                <c:pt idx="6">
                  <c:v>130766.492166881</c:v>
                </c:pt>
                <c:pt idx="7">
                  <c:v>131877.66144458699</c:v>
                </c:pt>
                <c:pt idx="8">
                  <c:v>132988.83072229399</c:v>
                </c:pt>
                <c:pt idx="9">
                  <c:v>134100</c:v>
                </c:pt>
              </c:numCache>
            </c:numRef>
          </c:xVal>
          <c:yVal>
            <c:numRef>
              <c:f>'UPCGNII-{C-29801A}'!$F$8:$F$17</c:f>
              <c:numCache>
                <c:formatCode>00,000E+00</c:formatCode>
                <c:ptCount val="10"/>
                <c:pt idx="0">
                  <c:v>869117.24350062001</c:v>
                </c:pt>
                <c:pt idx="1">
                  <c:v>876899.19719562796</c:v>
                </c:pt>
                <c:pt idx="2">
                  <c:v>884681.15089063602</c:v>
                </c:pt>
                <c:pt idx="3">
                  <c:v>892463.10458564397</c:v>
                </c:pt>
                <c:pt idx="4">
                  <c:v>900245.05828065297</c:v>
                </c:pt>
                <c:pt idx="5">
                  <c:v>908027.01197566104</c:v>
                </c:pt>
                <c:pt idx="6">
                  <c:v>915808.96567066899</c:v>
                </c:pt>
                <c:pt idx="7">
                  <c:v>923590.91936567798</c:v>
                </c:pt>
                <c:pt idx="8">
                  <c:v>931372.87306068605</c:v>
                </c:pt>
                <c:pt idx="9">
                  <c:v>939154.82675569097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08-4FE6-B4E0-A9A62F1AE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C-29801B[Compressor para GR da UPCGN-II]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65639908075603"/>
                  <c:y val="-2.58860764680456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'UPCGNII-{C-29801B}'!$E$8:$E$17</c:f>
              <c:numCache>
                <c:formatCode>0.0000E+00</c:formatCode>
                <c:ptCount val="10"/>
                <c:pt idx="0">
                  <c:v>180859.49379792099</c:v>
                </c:pt>
                <c:pt idx="1">
                  <c:v>181975.105598152</c:v>
                </c:pt>
                <c:pt idx="2">
                  <c:v>183090.71739838301</c:v>
                </c:pt>
                <c:pt idx="3">
                  <c:v>184206.329198614</c:v>
                </c:pt>
                <c:pt idx="4">
                  <c:v>185321.94099884501</c:v>
                </c:pt>
                <c:pt idx="5">
                  <c:v>186437.55279907599</c:v>
                </c:pt>
                <c:pt idx="6">
                  <c:v>187553.164599307</c:v>
                </c:pt>
                <c:pt idx="7">
                  <c:v>188668.77639953801</c:v>
                </c:pt>
                <c:pt idx="8">
                  <c:v>189784.38819976899</c:v>
                </c:pt>
                <c:pt idx="9">
                  <c:v>190900</c:v>
                </c:pt>
              </c:numCache>
            </c:numRef>
          </c:xVal>
          <c:yVal>
            <c:numRef>
              <c:f>'UPCGNII-{C-29801B}'!$F$8:$F$17</c:f>
              <c:numCache>
                <c:formatCode>00,000E+00</c:formatCode>
                <c:ptCount val="10"/>
                <c:pt idx="0">
                  <c:v>816654.54607351997</c:v>
                </c:pt>
                <c:pt idx="1">
                  <c:v>821691.989390317</c:v>
                </c:pt>
                <c:pt idx="2">
                  <c:v>826729.43270711496</c:v>
                </c:pt>
                <c:pt idx="3">
                  <c:v>831766.87602391199</c:v>
                </c:pt>
                <c:pt idx="4">
                  <c:v>836804.31934071297</c:v>
                </c:pt>
                <c:pt idx="5">
                  <c:v>841841.76265751</c:v>
                </c:pt>
                <c:pt idx="6">
                  <c:v>846879.20597430703</c:v>
                </c:pt>
                <c:pt idx="7">
                  <c:v>851916.64929110499</c:v>
                </c:pt>
                <c:pt idx="8">
                  <c:v>856954.09260791203</c:v>
                </c:pt>
                <c:pt idx="9">
                  <c:v>861991.53592470603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4B-4180-ADE9-45597FF9B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C-29801B[Compressor para GR da UPCGN-III]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084860529645255"/>
                  <c:y val="-1.69580172345500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'UPCGNIII-{C-29801A} '!$E$8:$E$17</c:f>
              <c:numCache>
                <c:formatCode>0.0000E+00</c:formatCode>
                <c:ptCount val="10"/>
                <c:pt idx="0">
                  <c:v>121401.00266196601</c:v>
                </c:pt>
                <c:pt idx="1">
                  <c:v>122512.002366192</c:v>
                </c:pt>
                <c:pt idx="2">
                  <c:v>123623.00207041801</c:v>
                </c:pt>
                <c:pt idx="3">
                  <c:v>124734.001774644</c:v>
                </c:pt>
                <c:pt idx="4">
                  <c:v>125845.00147887001</c:v>
                </c:pt>
                <c:pt idx="5">
                  <c:v>126956.001183096</c:v>
                </c:pt>
                <c:pt idx="6">
                  <c:v>128067.00088732201</c:v>
                </c:pt>
                <c:pt idx="7">
                  <c:v>129178.000591548</c:v>
                </c:pt>
                <c:pt idx="8">
                  <c:v>130289.00029577401</c:v>
                </c:pt>
                <c:pt idx="9">
                  <c:v>131400</c:v>
                </c:pt>
              </c:numCache>
            </c:numRef>
          </c:xVal>
          <c:yVal>
            <c:numRef>
              <c:f>'UPCGNIII-{C-29801A} '!$F$8:$F$17</c:f>
              <c:numCache>
                <c:formatCode>0.0000E+00</c:formatCode>
                <c:ptCount val="10"/>
                <c:pt idx="0">
                  <c:v>852537.97772111802</c:v>
                </c:pt>
                <c:pt idx="1">
                  <c:v>860339.96798743401</c:v>
                </c:pt>
                <c:pt idx="2">
                  <c:v>868141.95825374895</c:v>
                </c:pt>
                <c:pt idx="3">
                  <c:v>875943.94852006203</c:v>
                </c:pt>
                <c:pt idx="4">
                  <c:v>883745.93878637999</c:v>
                </c:pt>
                <c:pt idx="5">
                  <c:v>891547.92905269598</c:v>
                </c:pt>
                <c:pt idx="6">
                  <c:v>899349.91931900801</c:v>
                </c:pt>
                <c:pt idx="7">
                  <c:v>907151.909585324</c:v>
                </c:pt>
                <c:pt idx="8">
                  <c:v>914953.89985164301</c:v>
                </c:pt>
                <c:pt idx="9">
                  <c:v>922755.89011795504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64-45C6-A800-2127E1E8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C-29801B[Compressor para GR da UPCGN-III]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630078512219682"/>
                  <c:y val="-4.12307054801616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'UPCGNIII-{C-29801B}'!$E$8:$E$17</c:f>
              <c:numCache>
                <c:formatCode>0.0000E+00</c:formatCode>
                <c:ptCount val="10"/>
                <c:pt idx="0">
                  <c:v>233435.858292688</c:v>
                </c:pt>
                <c:pt idx="1">
                  <c:v>234542.98514905601</c:v>
                </c:pt>
                <c:pt idx="2">
                  <c:v>235650.11200542399</c:v>
                </c:pt>
                <c:pt idx="3">
                  <c:v>236757.23886179199</c:v>
                </c:pt>
                <c:pt idx="4">
                  <c:v>237864.36571816</c:v>
                </c:pt>
                <c:pt idx="5">
                  <c:v>238971.49257452801</c:v>
                </c:pt>
                <c:pt idx="6">
                  <c:v>240078.61943089601</c:v>
                </c:pt>
                <c:pt idx="7">
                  <c:v>241185.74628726399</c:v>
                </c:pt>
                <c:pt idx="8">
                  <c:v>242292.87314363199</c:v>
                </c:pt>
                <c:pt idx="9">
                  <c:v>243400</c:v>
                </c:pt>
              </c:numCache>
            </c:numRef>
          </c:xVal>
          <c:yVal>
            <c:numRef>
              <c:f>'UPCGNIII-{C-29801B}'!$F$8:$F$17</c:f>
              <c:numCache>
                <c:formatCode>00,000E+00</c:formatCode>
                <c:ptCount val="10"/>
                <c:pt idx="0">
                  <c:v>1054175.4249994501</c:v>
                </c:pt>
                <c:pt idx="1">
                  <c:v>1059175.1107070099</c:v>
                </c:pt>
                <c:pt idx="2">
                  <c:v>1064174.79641458</c:v>
                </c:pt>
                <c:pt idx="3">
                  <c:v>1069174.48212216</c:v>
                </c:pt>
                <c:pt idx="4">
                  <c:v>1074174.1678297201</c:v>
                </c:pt>
                <c:pt idx="5">
                  <c:v>1079173.8535372899</c:v>
                </c:pt>
                <c:pt idx="6">
                  <c:v>1084173.5392448499</c:v>
                </c:pt>
                <c:pt idx="7">
                  <c:v>1089173.22495243</c:v>
                </c:pt>
                <c:pt idx="8">
                  <c:v>1094172.9106600001</c:v>
                </c:pt>
                <c:pt idx="9">
                  <c:v>1099172.5963675601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8D-47CA-9D80-6D1AC5800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C-29801A[Compressor para GR da UPCGN-IV]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801319376946138"/>
                  <c:y val="-2.20711424776457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'UPCGNIV-{C-29801A} '!$E$8:$E$17</c:f>
              <c:numCache>
                <c:formatCode>0.0000E+00</c:formatCode>
                <c:ptCount val="10"/>
                <c:pt idx="0">
                  <c:v>160337.17648388899</c:v>
                </c:pt>
                <c:pt idx="1">
                  <c:v>161444.156874568</c:v>
                </c:pt>
                <c:pt idx="2">
                  <c:v>162551.137265247</c:v>
                </c:pt>
                <c:pt idx="3">
                  <c:v>163658.11765592601</c:v>
                </c:pt>
                <c:pt idx="4">
                  <c:v>164765.09804660501</c:v>
                </c:pt>
                <c:pt idx="5">
                  <c:v>165872.07843728401</c:v>
                </c:pt>
                <c:pt idx="6">
                  <c:v>166979.05882796299</c:v>
                </c:pt>
                <c:pt idx="7">
                  <c:v>168086.03921864199</c:v>
                </c:pt>
                <c:pt idx="8">
                  <c:v>169193.019609321</c:v>
                </c:pt>
                <c:pt idx="9">
                  <c:v>170300</c:v>
                </c:pt>
              </c:numCache>
            </c:numRef>
          </c:xVal>
          <c:yVal>
            <c:numRef>
              <c:f>'UPCGNIV-{C-29801A} '!$F$8:$F$17</c:f>
              <c:numCache>
                <c:formatCode>00,000E+00</c:formatCode>
                <c:ptCount val="10"/>
                <c:pt idx="0">
                  <c:v>1122091.0609138501</c:v>
                </c:pt>
                <c:pt idx="1">
                  <c:v>1129838.06524701</c:v>
                </c:pt>
                <c:pt idx="2">
                  <c:v>1137585.0695801701</c:v>
                </c:pt>
                <c:pt idx="3">
                  <c:v>1145332.07391334</c:v>
                </c:pt>
                <c:pt idx="4">
                  <c:v>1153079.0782465001</c:v>
                </c:pt>
                <c:pt idx="5">
                  <c:v>1160826.08257966</c:v>
                </c:pt>
                <c:pt idx="6">
                  <c:v>1168573.0869128299</c:v>
                </c:pt>
                <c:pt idx="7">
                  <c:v>1176320.09124599</c:v>
                </c:pt>
                <c:pt idx="8">
                  <c:v>1184067.0955791499</c:v>
                </c:pt>
                <c:pt idx="9">
                  <c:v>1191814.09991232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0A-43D0-BF03-6AF78D90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C-29801B[Compressor para GR da UPCGN-IV]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488975528055465"/>
                  <c:y val="1.94852665379122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'UPCGNIV-{C-29801B}'!$E$8:$E$17</c:f>
              <c:numCache>
                <c:formatCode>0.0000E+00</c:formatCode>
                <c:ptCount val="10"/>
                <c:pt idx="0">
                  <c:v>313511.50288551999</c:v>
                </c:pt>
                <c:pt idx="1">
                  <c:v>314621.33589823998</c:v>
                </c:pt>
                <c:pt idx="2">
                  <c:v>315731.16891096003</c:v>
                </c:pt>
                <c:pt idx="3">
                  <c:v>316841.00192368001</c:v>
                </c:pt>
                <c:pt idx="4">
                  <c:v>317950.8349364</c:v>
                </c:pt>
                <c:pt idx="5">
                  <c:v>319060.66794911999</c:v>
                </c:pt>
                <c:pt idx="6">
                  <c:v>320170.50096183998</c:v>
                </c:pt>
                <c:pt idx="7">
                  <c:v>321280.33397456002</c:v>
                </c:pt>
                <c:pt idx="8">
                  <c:v>322390.16698728001</c:v>
                </c:pt>
                <c:pt idx="9">
                  <c:v>323500</c:v>
                </c:pt>
              </c:numCache>
            </c:numRef>
          </c:xVal>
          <c:yVal>
            <c:numRef>
              <c:f>'UPCGNIV-{C-29801B}'!$F$8:$F$17</c:f>
              <c:numCache>
                <c:formatCode>0.0000E+00</c:formatCode>
                <c:ptCount val="10"/>
                <c:pt idx="0">
                  <c:v>1411329.5758390301</c:v>
                </c:pt>
                <c:pt idx="1">
                  <c:v>1416325.6928576301</c:v>
                </c:pt>
                <c:pt idx="2">
                  <c:v>1421321.8098762401</c:v>
                </c:pt>
                <c:pt idx="3">
                  <c:v>1426317.9268948401</c:v>
                </c:pt>
                <c:pt idx="4">
                  <c:v>1431314.0439134501</c:v>
                </c:pt>
                <c:pt idx="5">
                  <c:v>1436310.1609320401</c:v>
                </c:pt>
                <c:pt idx="6">
                  <c:v>1441306.2779506501</c:v>
                </c:pt>
                <c:pt idx="7">
                  <c:v>1446302.3949692501</c:v>
                </c:pt>
                <c:pt idx="8">
                  <c:v>1451298.5119878601</c:v>
                </c:pt>
                <c:pt idx="9">
                  <c:v>1456294.6290064601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3-4B3C-A799-14A7DF3E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C-20602 [Compressor para GR da URL-1]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060710766967792"/>
                  <c:y val="-4.44768140058404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'URL-I-{C-20602} '!$E$8:$E$17</c:f>
              <c:numCache>
                <c:formatCode>0.0000E+00</c:formatCode>
                <c:ptCount val="10"/>
                <c:pt idx="0">
                  <c:v>3189977.4044378898</c:v>
                </c:pt>
                <c:pt idx="1">
                  <c:v>2878868.8039447898</c:v>
                </c:pt>
                <c:pt idx="2">
                  <c:v>2567760.2034516898</c:v>
                </c:pt>
                <c:pt idx="3">
                  <c:v>2256651.6029585898</c:v>
                </c:pt>
                <c:pt idx="4">
                  <c:v>1945543.0024655</c:v>
                </c:pt>
                <c:pt idx="5">
                  <c:v>1634434.4019724</c:v>
                </c:pt>
                <c:pt idx="6">
                  <c:v>1323325.8014793</c:v>
                </c:pt>
                <c:pt idx="7">
                  <c:v>1012217.2009862</c:v>
                </c:pt>
                <c:pt idx="8">
                  <c:v>701108.60049309896</c:v>
                </c:pt>
                <c:pt idx="9">
                  <c:v>390000</c:v>
                </c:pt>
              </c:numCache>
            </c:numRef>
          </c:xVal>
          <c:yVal>
            <c:numRef>
              <c:f>'URL-I-{C-20602} '!$F$8:$F$17</c:f>
              <c:numCache>
                <c:formatCode>00,000E+00</c:formatCode>
                <c:ptCount val="10"/>
                <c:pt idx="0">
                  <c:v>19730034.764945801</c:v>
                </c:pt>
                <c:pt idx="1">
                  <c:v>17805825.679683</c:v>
                </c:pt>
                <c:pt idx="2">
                  <c:v>15881616.5944202</c:v>
                </c:pt>
                <c:pt idx="3">
                  <c:v>13957407.509157401</c:v>
                </c:pt>
                <c:pt idx="4">
                  <c:v>12033198.423894599</c:v>
                </c:pt>
                <c:pt idx="5">
                  <c:v>10108989.338631701</c:v>
                </c:pt>
                <c:pt idx="6">
                  <c:v>8184780.2533689104</c:v>
                </c:pt>
                <c:pt idx="7">
                  <c:v>6260571.1681060903</c:v>
                </c:pt>
                <c:pt idx="8">
                  <c:v>4336362.0828432897</c:v>
                </c:pt>
                <c:pt idx="9">
                  <c:v>2412152.9975804798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9-44FA-8D2E-1616DC62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C-20602 [Compressor para GR da URL-2]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96316266744858"/>
                  <c:y val="-6.12404597757184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'URL-II-{C-20602} '!$E$8:$E$17</c:f>
              <c:numCache>
                <c:formatCode>0.0000E+00</c:formatCode>
                <c:ptCount val="10"/>
                <c:pt idx="0">
                  <c:v>3194000</c:v>
                </c:pt>
                <c:pt idx="1">
                  <c:v>3205111.1111111101</c:v>
                </c:pt>
                <c:pt idx="2">
                  <c:v>3216222.2222222202</c:v>
                </c:pt>
                <c:pt idx="3">
                  <c:v>3227333.3333333302</c:v>
                </c:pt>
                <c:pt idx="4">
                  <c:v>3238444.4444444398</c:v>
                </c:pt>
                <c:pt idx="5">
                  <c:v>3249555.5555555602</c:v>
                </c:pt>
                <c:pt idx="6">
                  <c:v>3260666.6666666698</c:v>
                </c:pt>
                <c:pt idx="7">
                  <c:v>3271777.7777777798</c:v>
                </c:pt>
                <c:pt idx="8">
                  <c:v>3282888.8888888899</c:v>
                </c:pt>
                <c:pt idx="9">
                  <c:v>3294000</c:v>
                </c:pt>
              </c:numCache>
            </c:numRef>
          </c:xVal>
          <c:yVal>
            <c:numRef>
              <c:f>'URL-II-{C-20602} '!$F$8:$F$17</c:f>
              <c:numCache>
                <c:formatCode>00,000E+00</c:formatCode>
                <c:ptCount val="10"/>
                <c:pt idx="0">
                  <c:v>19289774.048517101</c:v>
                </c:pt>
                <c:pt idx="1">
                  <c:v>19356878.251009598</c:v>
                </c:pt>
                <c:pt idx="2">
                  <c:v>19423982.453502201</c:v>
                </c:pt>
                <c:pt idx="3">
                  <c:v>19491086.655994799</c:v>
                </c:pt>
                <c:pt idx="4">
                  <c:v>19558190.858487401</c:v>
                </c:pt>
                <c:pt idx="5">
                  <c:v>19625295.060979899</c:v>
                </c:pt>
                <c:pt idx="6">
                  <c:v>19692399.263472501</c:v>
                </c:pt>
                <c:pt idx="7">
                  <c:v>19759503.4659651</c:v>
                </c:pt>
                <c:pt idx="8">
                  <c:v>19826607.668457702</c:v>
                </c:pt>
                <c:pt idx="9">
                  <c:v>19893711.8709503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F-414A-AC97-8F76A067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C-20602 [Compressor para GR da URL-3]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392249776614542"/>
                  <c:y val="-3.1411899610185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'URL-III-{C-20602} '!$E$8:$E$17</c:f>
              <c:numCache>
                <c:formatCode>0.0000E+00</c:formatCode>
                <c:ptCount val="10"/>
                <c:pt idx="0">
                  <c:v>3189782.4205264398</c:v>
                </c:pt>
                <c:pt idx="1">
                  <c:v>3200917.7071346198</c:v>
                </c:pt>
                <c:pt idx="2">
                  <c:v>3212052.9937427901</c:v>
                </c:pt>
                <c:pt idx="3">
                  <c:v>3223188.2803509599</c:v>
                </c:pt>
                <c:pt idx="4">
                  <c:v>3234323.5669591399</c:v>
                </c:pt>
                <c:pt idx="5">
                  <c:v>3245458.8535673101</c:v>
                </c:pt>
                <c:pt idx="6">
                  <c:v>3256594.1401754799</c:v>
                </c:pt>
                <c:pt idx="7">
                  <c:v>3267729.4267836502</c:v>
                </c:pt>
                <c:pt idx="8">
                  <c:v>3278864.7133918302</c:v>
                </c:pt>
                <c:pt idx="9">
                  <c:v>3290000</c:v>
                </c:pt>
              </c:numCache>
            </c:numRef>
          </c:xVal>
          <c:yVal>
            <c:numRef>
              <c:f>'URL-III-{C-20602} '!$F$8:$F$17</c:f>
              <c:numCache>
                <c:formatCode>00,000E+00</c:formatCode>
                <c:ptCount val="10"/>
                <c:pt idx="0">
                  <c:v>19800967.219028201</c:v>
                </c:pt>
                <c:pt idx="1">
                  <c:v>19870090.882035401</c:v>
                </c:pt>
                <c:pt idx="2">
                  <c:v>19939214.545042701</c:v>
                </c:pt>
                <c:pt idx="3">
                  <c:v>20008338.208049901</c:v>
                </c:pt>
                <c:pt idx="4">
                  <c:v>20077461.871057201</c:v>
                </c:pt>
                <c:pt idx="5">
                  <c:v>20146585.534064401</c:v>
                </c:pt>
                <c:pt idx="6">
                  <c:v>20215709.197071601</c:v>
                </c:pt>
                <c:pt idx="7">
                  <c:v>20284832.860078901</c:v>
                </c:pt>
                <c:pt idx="8">
                  <c:v>20353956.523086101</c:v>
                </c:pt>
                <c:pt idx="9">
                  <c:v>20423080.186093401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CF-482F-A372-9972BD857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C-20602 [Compressor para GR da URL-3]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852755047063287"/>
                  <c:y val="-2.58860764680456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'UPGN-II-{C-21102A.}'!$E$8:$E$17</c:f>
              <c:numCache>
                <c:formatCode>0.0000E+00</c:formatCode>
                <c:ptCount val="10"/>
                <c:pt idx="0">
                  <c:v>521756.60437301401</c:v>
                </c:pt>
                <c:pt idx="1">
                  <c:v>522872.53722045699</c:v>
                </c:pt>
                <c:pt idx="2">
                  <c:v>523988.47006790002</c:v>
                </c:pt>
                <c:pt idx="3">
                  <c:v>525104.40291534294</c:v>
                </c:pt>
                <c:pt idx="4">
                  <c:v>526220.33576278598</c:v>
                </c:pt>
                <c:pt idx="5">
                  <c:v>527336.26861022902</c:v>
                </c:pt>
                <c:pt idx="6">
                  <c:v>528452.20145767205</c:v>
                </c:pt>
                <c:pt idx="7">
                  <c:v>529568.13430511404</c:v>
                </c:pt>
                <c:pt idx="8">
                  <c:v>530684.06715255696</c:v>
                </c:pt>
                <c:pt idx="9">
                  <c:v>531800</c:v>
                </c:pt>
              </c:numCache>
            </c:numRef>
          </c:xVal>
          <c:yVal>
            <c:numRef>
              <c:f>'UPGN-II-{C-21102A.}'!$F$8:$F$17</c:f>
              <c:numCache>
                <c:formatCode>00,000E+00</c:formatCode>
                <c:ptCount val="10"/>
                <c:pt idx="0">
                  <c:v>1827863.5397057501</c:v>
                </c:pt>
                <c:pt idx="1">
                  <c:v>1831772.97362093</c:v>
                </c:pt>
                <c:pt idx="2">
                  <c:v>1835682.4075360999</c:v>
                </c:pt>
                <c:pt idx="3">
                  <c:v>1839591.8414512801</c:v>
                </c:pt>
                <c:pt idx="4">
                  <c:v>1843501.2753664399</c:v>
                </c:pt>
                <c:pt idx="5">
                  <c:v>1847410.7092816201</c:v>
                </c:pt>
                <c:pt idx="6">
                  <c:v>1851320.14319679</c:v>
                </c:pt>
                <c:pt idx="7">
                  <c:v>1855229.5771119699</c:v>
                </c:pt>
                <c:pt idx="8">
                  <c:v>1859139.0110271301</c:v>
                </c:pt>
                <c:pt idx="9">
                  <c:v>1863048.4449423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6C-47A6-873B-FF48157FE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C-20602 [Compressor para GR da URL-3]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350971281770963"/>
                  <c:y val="-5.28616837948202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'UPGN-II-{C-21102B}'!$E$8:$E$17</c:f>
              <c:numCache>
                <c:formatCode>0.0000E+00</c:formatCode>
                <c:ptCount val="10"/>
                <c:pt idx="0">
                  <c:v>673598.86398618796</c:v>
                </c:pt>
                <c:pt idx="1">
                  <c:v>674710.10132105602</c:v>
                </c:pt>
                <c:pt idx="2">
                  <c:v>675821.33865592396</c:v>
                </c:pt>
                <c:pt idx="3">
                  <c:v>676932.57599079201</c:v>
                </c:pt>
                <c:pt idx="4">
                  <c:v>678043.81332565995</c:v>
                </c:pt>
                <c:pt idx="5">
                  <c:v>679155.05066052801</c:v>
                </c:pt>
                <c:pt idx="6">
                  <c:v>680266.28799539595</c:v>
                </c:pt>
                <c:pt idx="7">
                  <c:v>681377.525330264</c:v>
                </c:pt>
                <c:pt idx="8">
                  <c:v>682488.76266513194</c:v>
                </c:pt>
                <c:pt idx="9">
                  <c:v>683600</c:v>
                </c:pt>
              </c:numCache>
            </c:numRef>
          </c:xVal>
          <c:yVal>
            <c:numRef>
              <c:f>'UPGN-II-{C-21102B}'!$F$8:$F$17</c:f>
              <c:numCache>
                <c:formatCode>0.0000E+00</c:formatCode>
                <c:ptCount val="10"/>
                <c:pt idx="0">
                  <c:v>2497447.9047487299</c:v>
                </c:pt>
                <c:pt idx="1">
                  <c:v>2501567.94933614</c:v>
                </c:pt>
                <c:pt idx="2">
                  <c:v>2505687.9939235402</c:v>
                </c:pt>
                <c:pt idx="3">
                  <c:v>2509808.0385109298</c:v>
                </c:pt>
                <c:pt idx="4">
                  <c:v>2513928.0830983398</c:v>
                </c:pt>
                <c:pt idx="5">
                  <c:v>2518048.1276857299</c:v>
                </c:pt>
                <c:pt idx="6">
                  <c:v>2522168.1722731302</c:v>
                </c:pt>
                <c:pt idx="7">
                  <c:v>2526288.2168605402</c:v>
                </c:pt>
                <c:pt idx="8">
                  <c:v>2530408.2614479298</c:v>
                </c:pt>
                <c:pt idx="9">
                  <c:v>2534528.3060353198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AD-4CC6-ADB2-C1E95442A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K-100 [Compressor GÁS DE EXPEDIÇÃO]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760638788885813"/>
                  <c:y val="-1.0638528122609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'MAIN-{K-100}'!$E$8:$E$17</c:f>
              <c:numCache>
                <c:formatCode>0.0000E+00</c:formatCode>
                <c:ptCount val="10"/>
                <c:pt idx="0">
                  <c:v>15791933.103554299</c:v>
                </c:pt>
                <c:pt idx="1">
                  <c:v>15902829.425381601</c:v>
                </c:pt>
                <c:pt idx="2">
                  <c:v>16013725.747208901</c:v>
                </c:pt>
                <c:pt idx="3">
                  <c:v>16124622.069036201</c:v>
                </c:pt>
                <c:pt idx="4">
                  <c:v>16235518.390863501</c:v>
                </c:pt>
                <c:pt idx="5">
                  <c:v>16346414.7126908</c:v>
                </c:pt>
                <c:pt idx="6">
                  <c:v>16457311.0345181</c:v>
                </c:pt>
                <c:pt idx="7">
                  <c:v>16568207.3563454</c:v>
                </c:pt>
                <c:pt idx="8">
                  <c:v>16679103.6781727</c:v>
                </c:pt>
                <c:pt idx="9">
                  <c:v>16790000</c:v>
                </c:pt>
              </c:numCache>
            </c:numRef>
          </c:xVal>
          <c:yVal>
            <c:numRef>
              <c:f>'MAIN-{K-100}'!$F$8:$F$17</c:f>
              <c:numCache>
                <c:formatCode>0.0000E+00</c:formatCode>
                <c:ptCount val="10"/>
                <c:pt idx="0">
                  <c:v>67868613.844479099</c:v>
                </c:pt>
                <c:pt idx="1">
                  <c:v>68345210.318990707</c:v>
                </c:pt>
                <c:pt idx="2">
                  <c:v>68821806.793501794</c:v>
                </c:pt>
                <c:pt idx="3">
                  <c:v>69298403.268012494</c:v>
                </c:pt>
                <c:pt idx="4">
                  <c:v>69774999.742523998</c:v>
                </c:pt>
                <c:pt idx="5">
                  <c:v>70251596.217034802</c:v>
                </c:pt>
                <c:pt idx="6">
                  <c:v>70728192.691546306</c:v>
                </c:pt>
                <c:pt idx="7">
                  <c:v>71204789.166057393</c:v>
                </c:pt>
                <c:pt idx="8">
                  <c:v>71681385.640568197</c:v>
                </c:pt>
                <c:pt idx="9">
                  <c:v>72157982.115079701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9-4FB5-A6A9-C33CC976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CARGA URL-1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1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595464475830028"/>
                  <c:y val="9.892982223521299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'CARGA_URL-1'!$E$8:$E$17</c:f>
              <c:numCache>
                <c:formatCode>0.0000E+00</c:formatCode>
                <c:ptCount val="10"/>
                <c:pt idx="0">
                  <c:v>3932651.3781962199</c:v>
                </c:pt>
                <c:pt idx="1">
                  <c:v>3943801.22506331</c:v>
                </c:pt>
                <c:pt idx="2">
                  <c:v>3954951.0719304001</c:v>
                </c:pt>
                <c:pt idx="3">
                  <c:v>3966100.9187974799</c:v>
                </c:pt>
                <c:pt idx="4">
                  <c:v>3977250.76566457</c:v>
                </c:pt>
                <c:pt idx="5">
                  <c:v>3988400.6125316601</c:v>
                </c:pt>
                <c:pt idx="6">
                  <c:v>3999550.45939874</c:v>
                </c:pt>
                <c:pt idx="7">
                  <c:v>4010700.3062658301</c:v>
                </c:pt>
                <c:pt idx="8">
                  <c:v>4021850.1531329099</c:v>
                </c:pt>
                <c:pt idx="9">
                  <c:v>4033000</c:v>
                </c:pt>
              </c:numCache>
            </c:numRef>
          </c:xVal>
          <c:yVal>
            <c:numRef>
              <c:f>'CARGA_URL-1'!$F$8:$F$17</c:f>
              <c:numCache>
                <c:formatCode>0.0000E+00</c:formatCode>
                <c:ptCount val="10"/>
                <c:pt idx="0">
                  <c:v>22173818.233029898</c:v>
                </c:pt>
                <c:pt idx="1">
                  <c:v>22237447.354230098</c:v>
                </c:pt>
                <c:pt idx="2">
                  <c:v>22300271.288208801</c:v>
                </c:pt>
                <c:pt idx="3">
                  <c:v>22363143.324149899</c:v>
                </c:pt>
                <c:pt idx="4">
                  <c:v>22426012.0404553</c:v>
                </c:pt>
                <c:pt idx="5">
                  <c:v>22488880.3492653</c:v>
                </c:pt>
                <c:pt idx="6">
                  <c:v>22551748.554428499</c:v>
                </c:pt>
                <c:pt idx="7">
                  <c:v>22614616.734113399</c:v>
                </c:pt>
                <c:pt idx="8">
                  <c:v>22677484.908030301</c:v>
                </c:pt>
                <c:pt idx="9">
                  <c:v>22740353.080511499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B8-4A00-AA1A-FD50EC7EA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CARGA URL-2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34443111070084"/>
                  <c:y val="-4.07904803790936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'CARGA_URL-2'!$E$8:$E$17</c:f>
              <c:numCache>
                <c:formatCode>0.0000E+00</c:formatCode>
                <c:ptCount val="10"/>
                <c:pt idx="0">
                  <c:v>3933831.1916010198</c:v>
                </c:pt>
                <c:pt idx="1">
                  <c:v>3944961.0592009099</c:v>
                </c:pt>
                <c:pt idx="2">
                  <c:v>3956090.9268008</c:v>
                </c:pt>
                <c:pt idx="3">
                  <c:v>3967220.7944006799</c:v>
                </c:pt>
                <c:pt idx="4">
                  <c:v>3978350.66200057</c:v>
                </c:pt>
                <c:pt idx="5">
                  <c:v>3989480.5296004498</c:v>
                </c:pt>
                <c:pt idx="6">
                  <c:v>4000610.3972003399</c:v>
                </c:pt>
                <c:pt idx="7">
                  <c:v>4011740.26480023</c:v>
                </c:pt>
                <c:pt idx="8">
                  <c:v>4022870.1324001099</c:v>
                </c:pt>
                <c:pt idx="9">
                  <c:v>4034000</c:v>
                </c:pt>
              </c:numCache>
            </c:numRef>
          </c:xVal>
          <c:yVal>
            <c:numRef>
              <c:f>'CARGA_URL-2'!$F$8:$F$17</c:f>
              <c:numCache>
                <c:formatCode>0.0000E+00</c:formatCode>
                <c:ptCount val="10"/>
                <c:pt idx="0">
                  <c:v>22246781.808266301</c:v>
                </c:pt>
                <c:pt idx="1">
                  <c:v>22310059.735579301</c:v>
                </c:pt>
                <c:pt idx="2">
                  <c:v>22373024.910092302</c:v>
                </c:pt>
                <c:pt idx="3">
                  <c:v>22435972.951549102</c:v>
                </c:pt>
                <c:pt idx="4">
                  <c:v>22498916.958094299</c:v>
                </c:pt>
                <c:pt idx="5">
                  <c:v>22561860.081935801</c:v>
                </c:pt>
                <c:pt idx="6">
                  <c:v>22624803.007236801</c:v>
                </c:pt>
                <c:pt idx="7">
                  <c:v>22687745.8877864</c:v>
                </c:pt>
                <c:pt idx="8">
                  <c:v>22750688.7582523</c:v>
                </c:pt>
                <c:pt idx="9">
                  <c:v>22813631.626435801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BF-4F0D-BD94-E265B38E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CARGA URL-3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468856055299437"/>
                  <c:y val="-2.89600874482472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'CARGA_URL-3'!$E$8:$E$17</c:f>
              <c:numCache>
                <c:formatCode>0.0000E+00</c:formatCode>
                <c:ptCount val="10"/>
                <c:pt idx="0">
                  <c:v>3932651.3781962199</c:v>
                </c:pt>
                <c:pt idx="1">
                  <c:v>3943801.22506331</c:v>
                </c:pt>
                <c:pt idx="2">
                  <c:v>3954951.0719304001</c:v>
                </c:pt>
                <c:pt idx="3">
                  <c:v>3966100.9187974799</c:v>
                </c:pt>
                <c:pt idx="4">
                  <c:v>3977250.76566457</c:v>
                </c:pt>
                <c:pt idx="5">
                  <c:v>3988400.6125316601</c:v>
                </c:pt>
                <c:pt idx="6">
                  <c:v>3999550.45939874</c:v>
                </c:pt>
                <c:pt idx="7">
                  <c:v>4010700.3062658301</c:v>
                </c:pt>
                <c:pt idx="8">
                  <c:v>4021850.1531329099</c:v>
                </c:pt>
                <c:pt idx="9">
                  <c:v>4033000</c:v>
                </c:pt>
              </c:numCache>
            </c:numRef>
          </c:xVal>
          <c:yVal>
            <c:numRef>
              <c:f>'CARGA_URL-3'!$F$8:$F$17</c:f>
              <c:numCache>
                <c:formatCode>0.0000E+00</c:formatCode>
                <c:ptCount val="10"/>
                <c:pt idx="0">
                  <c:v>22154420.211474098</c:v>
                </c:pt>
                <c:pt idx="1">
                  <c:v>22220823.8259564</c:v>
                </c:pt>
                <c:pt idx="2">
                  <c:v>22284150.212597098</c:v>
                </c:pt>
                <c:pt idx="3">
                  <c:v>22347103.1440777</c:v>
                </c:pt>
                <c:pt idx="4">
                  <c:v>22409984.317788199</c:v>
                </c:pt>
                <c:pt idx="5">
                  <c:v>22472849.629749499</c:v>
                </c:pt>
                <c:pt idx="6">
                  <c:v>22535712.0188228</c:v>
                </c:pt>
                <c:pt idx="7">
                  <c:v>22598574.487462699</c:v>
                </c:pt>
                <c:pt idx="8">
                  <c:v>22661437.643178798</c:v>
                </c:pt>
                <c:pt idx="9">
                  <c:v>22724301.599286102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A7-4594-ABED-42C72652E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Q_REGENERAÇÃO (QF21001)</a:t>
            </a:r>
          </a:p>
        </c:rich>
      </c:tx>
      <c:layout>
        <c:manualLayout>
          <c:xMode val="edge"/>
          <c:yMode val="edge"/>
          <c:x val="0.24193397331186714"/>
          <c:y val="2.7295985197599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23037209591366"/>
                  <c:y val="-7.0523851059765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'CARGA_URL-3 X REGENERAÇÃO'!$E$8:$E$17</c:f>
              <c:numCache>
                <c:formatCode>0.0000E+00</c:formatCode>
                <c:ptCount val="10"/>
                <c:pt idx="0">
                  <c:v>3932651.3781962199</c:v>
                </c:pt>
                <c:pt idx="1">
                  <c:v>3943801.22506331</c:v>
                </c:pt>
                <c:pt idx="2">
                  <c:v>3954951.0719304001</c:v>
                </c:pt>
                <c:pt idx="3">
                  <c:v>3966100.9187974799</c:v>
                </c:pt>
                <c:pt idx="4">
                  <c:v>3977250.76566457</c:v>
                </c:pt>
                <c:pt idx="5">
                  <c:v>3988400.6125316601</c:v>
                </c:pt>
                <c:pt idx="6">
                  <c:v>3999550.45939874</c:v>
                </c:pt>
                <c:pt idx="7">
                  <c:v>4010700.3062658301</c:v>
                </c:pt>
                <c:pt idx="8">
                  <c:v>4021850.1531329099</c:v>
                </c:pt>
                <c:pt idx="9">
                  <c:v>4033000</c:v>
                </c:pt>
              </c:numCache>
            </c:numRef>
          </c:xVal>
          <c:yVal>
            <c:numRef>
              <c:f>'CARGA_URL-3 X REGENERAÇÃO'!$F$8:$F$17</c:f>
              <c:numCache>
                <c:formatCode>0.0000E+00</c:formatCode>
                <c:ptCount val="10"/>
                <c:pt idx="0">
                  <c:v>9122135.59672991</c:v>
                </c:pt>
                <c:pt idx="1">
                  <c:v>9147532.6629674807</c:v>
                </c:pt>
                <c:pt idx="2">
                  <c:v>9173348.5481458101</c:v>
                </c:pt>
                <c:pt idx="3">
                  <c:v>9199206.3087991793</c:v>
                </c:pt>
                <c:pt idx="4">
                  <c:v>9225068.2563735005</c:v>
                </c:pt>
                <c:pt idx="5">
                  <c:v>9250930.6225787606</c:v>
                </c:pt>
                <c:pt idx="6">
                  <c:v>9276793.0306411702</c:v>
                </c:pt>
                <c:pt idx="7">
                  <c:v>9302655.4428886697</c:v>
                </c:pt>
                <c:pt idx="8">
                  <c:v>9328517.8555546496</c:v>
                </c:pt>
                <c:pt idx="9">
                  <c:v>9354380.2682624701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5D-4916-9B8A-698BE163B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CARGA T01 {UPGN-II}</a:t>
            </a:r>
          </a:p>
        </c:rich>
      </c:tx>
      <c:layout>
        <c:manualLayout>
          <c:xMode val="edge"/>
          <c:yMode val="edge"/>
          <c:x val="0.19970427079762545"/>
          <c:y val="2.7296057579341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871293258293144"/>
                  <c:y val="-2.58860764680456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'UPGN-IICARGA_T01 X REBOILER T01'!$E$8:$E$17</c:f>
              <c:numCache>
                <c:formatCode>0.0000E+00</c:formatCode>
                <c:ptCount val="10"/>
                <c:pt idx="0">
                  <c:v>789987.28274168505</c:v>
                </c:pt>
                <c:pt idx="1">
                  <c:v>791099.80688149703</c:v>
                </c:pt>
                <c:pt idx="2">
                  <c:v>792212.33102130995</c:v>
                </c:pt>
                <c:pt idx="3">
                  <c:v>793324.85516112298</c:v>
                </c:pt>
                <c:pt idx="4">
                  <c:v>794437.37930093601</c:v>
                </c:pt>
                <c:pt idx="5">
                  <c:v>795549.90344074904</c:v>
                </c:pt>
                <c:pt idx="6">
                  <c:v>796662.42758056195</c:v>
                </c:pt>
                <c:pt idx="7">
                  <c:v>797774.95172037499</c:v>
                </c:pt>
                <c:pt idx="8">
                  <c:v>798887.47586018697</c:v>
                </c:pt>
                <c:pt idx="9">
                  <c:v>800000</c:v>
                </c:pt>
              </c:numCache>
            </c:numRef>
          </c:xVal>
          <c:yVal>
            <c:numRef>
              <c:f>'UPGN-IICARGA_T01 X REBOILER T01'!$F$8:$F$17</c:f>
              <c:numCache>
                <c:formatCode>0.0000E+00</c:formatCode>
                <c:ptCount val="10"/>
                <c:pt idx="0">
                  <c:v>16973010.759561501</c:v>
                </c:pt>
                <c:pt idx="1">
                  <c:v>16996916.9153862</c:v>
                </c:pt>
                <c:pt idx="2">
                  <c:v>17020819.6477772</c:v>
                </c:pt>
                <c:pt idx="3">
                  <c:v>17044722.422311999</c:v>
                </c:pt>
                <c:pt idx="4">
                  <c:v>17068625.196862601</c:v>
                </c:pt>
                <c:pt idx="5">
                  <c:v>17092527.971404299</c:v>
                </c:pt>
                <c:pt idx="6">
                  <c:v>17116430.745945901</c:v>
                </c:pt>
                <c:pt idx="7">
                  <c:v>17140333.520487498</c:v>
                </c:pt>
                <c:pt idx="8">
                  <c:v>17164236.295029201</c:v>
                </c:pt>
                <c:pt idx="9">
                  <c:v>17188139.069570899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50-4DED-9954-889D2D62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spc="0" baseline="0">
                <a:solidFill>
                  <a:sysClr val="windowText" lastClr="000000"/>
                </a:solidFill>
              </a:rPr>
              <a:t>Q REBOILER T01 X CARGA T01 {UPGN-II}</a:t>
            </a:r>
          </a:p>
        </c:rich>
      </c:tx>
      <c:layout>
        <c:manualLayout>
          <c:xMode val="edge"/>
          <c:yMode val="edge"/>
          <c:x val="0.19970427079762545"/>
          <c:y val="2.7296057579341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04186735157462"/>
          <c:y val="0.11200398240864699"/>
          <c:w val="0.76651453528886859"/>
          <c:h val="0.743652405824924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286069259216939"/>
                  <c:y val="-3.48647773480125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'UPGN-IICARGA_T02 X REBOILERT02'!$E$8:$E$17</c:f>
              <c:numCache>
                <c:formatCode>00,000E+00</c:formatCode>
                <c:ptCount val="10"/>
                <c:pt idx="0">
                  <c:v>268230.82922382402</c:v>
                </c:pt>
                <c:pt idx="1">
                  <c:v>269338.51486562099</c:v>
                </c:pt>
                <c:pt idx="2">
                  <c:v>270446.20050741901</c:v>
                </c:pt>
                <c:pt idx="3">
                  <c:v>271553.88614921598</c:v>
                </c:pt>
                <c:pt idx="4">
                  <c:v>272661.571791013</c:v>
                </c:pt>
                <c:pt idx="5">
                  <c:v>273769.25743281102</c:v>
                </c:pt>
                <c:pt idx="6">
                  <c:v>274876.94307460799</c:v>
                </c:pt>
                <c:pt idx="7">
                  <c:v>275984.62871640502</c:v>
                </c:pt>
                <c:pt idx="8">
                  <c:v>277092.31435820297</c:v>
                </c:pt>
                <c:pt idx="9">
                  <c:v>278200</c:v>
                </c:pt>
              </c:numCache>
            </c:numRef>
          </c:xVal>
          <c:yVal>
            <c:numRef>
              <c:f>'UPGN-IICARGA_T02 X REBOILERT02'!$F$8:$F$17</c:f>
              <c:numCache>
                <c:formatCode>00,000E+00</c:formatCode>
                <c:ptCount val="10"/>
                <c:pt idx="0">
                  <c:v>28210410.7919374</c:v>
                </c:pt>
                <c:pt idx="1">
                  <c:v>28326908.4632673</c:v>
                </c:pt>
                <c:pt idx="2">
                  <c:v>28443406.1345964</c:v>
                </c:pt>
                <c:pt idx="3">
                  <c:v>28559903.805926699</c:v>
                </c:pt>
                <c:pt idx="4">
                  <c:v>28676401.477256201</c:v>
                </c:pt>
                <c:pt idx="5">
                  <c:v>28792899.1485864</c:v>
                </c:pt>
                <c:pt idx="6">
                  <c:v>28909396.819915999</c:v>
                </c:pt>
                <c:pt idx="7">
                  <c:v>29025894.491245899</c:v>
                </c:pt>
                <c:pt idx="8">
                  <c:v>29142392.162575599</c:v>
                </c:pt>
                <c:pt idx="9">
                  <c:v>29258889.8339056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75-48AE-B2B1-38294F05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675647"/>
        <c:axId val="1077126303"/>
      </c:scatterChart>
      <c:valAx>
        <c:axId val="114067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Vazão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 [MM3/dia]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7517489071999166"/>
              <c:y val="0.9242688055128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126303"/>
        <c:crosses val="autoZero"/>
        <c:crossBetween val="midCat"/>
      </c:valAx>
      <c:valAx>
        <c:axId val="1077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>
                    <a:solidFill>
                      <a:sysClr val="windowText" lastClr="000000"/>
                    </a:solidFill>
                  </a:rPr>
                  <a:t>Energia</a:t>
                </a:r>
                <a:r>
                  <a:rPr lang="pt-BR" sz="1800" b="1" baseline="0">
                    <a:solidFill>
                      <a:sysClr val="windowText" lastClr="000000"/>
                    </a:solidFill>
                  </a:rPr>
                  <a:t> [kJ/h]</a:t>
                </a:r>
                <a:endParaRPr lang="pt-BR" sz="18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0,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067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17858</xdr:colOff>
      <xdr:row>3</xdr:row>
      <xdr:rowOff>170257</xdr:rowOff>
    </xdr:from>
    <xdr:to>
      <xdr:col>19</xdr:col>
      <xdr:colOff>11905</xdr:colOff>
      <xdr:row>25</xdr:row>
      <xdr:rowOff>166686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9972F7-EB01-3ABB-E41D-D1E5ACDFC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2</xdr:row>
      <xdr:rowOff>166687</xdr:rowOff>
    </xdr:from>
    <xdr:to>
      <xdr:col>19</xdr:col>
      <xdr:colOff>41671</xdr:colOff>
      <xdr:row>24</xdr:row>
      <xdr:rowOff>163116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36A236-614A-4914-B8DD-E706ED9E1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244928</xdr:colOff>
      <xdr:row>5</xdr:row>
      <xdr:rowOff>81642</xdr:rowOff>
    </xdr:from>
    <xdr:to>
      <xdr:col>19</xdr:col>
      <xdr:colOff>182845</xdr:colOff>
      <xdr:row>23</xdr:row>
      <xdr:rowOff>186928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F57C22-8D8F-4789-A57A-197072E19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345281</xdr:colOff>
      <xdr:row>4</xdr:row>
      <xdr:rowOff>35718</xdr:rowOff>
    </xdr:from>
    <xdr:to>
      <xdr:col>20</xdr:col>
      <xdr:colOff>339327</xdr:colOff>
      <xdr:row>26</xdr:row>
      <xdr:rowOff>32147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085962-53B7-42FE-BED0-6515F279C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</xdr:row>
      <xdr:rowOff>59532</xdr:rowOff>
    </xdr:from>
    <xdr:to>
      <xdr:col>20</xdr:col>
      <xdr:colOff>557609</xdr:colOff>
      <xdr:row>25</xdr:row>
      <xdr:rowOff>175023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7E8E95-440D-4AA9-B5B3-5A081224B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557609</xdr:colOff>
      <xdr:row>28</xdr:row>
      <xdr:rowOff>186929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E54C15-00FF-4CCB-8E50-D4EE3E950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583406</xdr:colOff>
      <xdr:row>4</xdr:row>
      <xdr:rowOff>0</xdr:rowOff>
    </xdr:from>
    <xdr:to>
      <xdr:col>19</xdr:col>
      <xdr:colOff>533796</xdr:colOff>
      <xdr:row>28</xdr:row>
      <xdr:rowOff>186929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313ED2-0BDB-4B6B-8546-6ECC2EAF0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18</xdr:col>
      <xdr:colOff>557609</xdr:colOff>
      <xdr:row>29</xdr:row>
      <xdr:rowOff>186929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42B613-C08E-4E27-A8D5-68DAC1BB2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557608</xdr:colOff>
      <xdr:row>27</xdr:row>
      <xdr:rowOff>186929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4898BF-B90A-4E62-8BD8-068EBB198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408214</xdr:colOff>
      <xdr:row>4</xdr:row>
      <xdr:rowOff>68036</xdr:rowOff>
    </xdr:from>
    <xdr:to>
      <xdr:col>21</xdr:col>
      <xdr:colOff>302474</xdr:colOff>
      <xdr:row>25</xdr:row>
      <xdr:rowOff>173322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626822B-C128-47C0-B9A7-E9D54FBDA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</xdr:colOff>
      <xdr:row>2</xdr:row>
      <xdr:rowOff>108857</xdr:rowOff>
    </xdr:from>
    <xdr:to>
      <xdr:col>20</xdr:col>
      <xdr:colOff>533796</xdr:colOff>
      <xdr:row>24</xdr:row>
      <xdr:rowOff>23643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C68A6D-F9A2-4C55-848B-8DDE48681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367393</xdr:colOff>
      <xdr:row>1</xdr:row>
      <xdr:rowOff>190500</xdr:rowOff>
    </xdr:from>
    <xdr:to>
      <xdr:col>18</xdr:col>
      <xdr:colOff>261653</xdr:colOff>
      <xdr:row>23</xdr:row>
      <xdr:rowOff>23643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A4D0FB-76E6-4EDE-839F-C2C872538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340178</xdr:colOff>
      <xdr:row>2</xdr:row>
      <xdr:rowOff>54429</xdr:rowOff>
    </xdr:from>
    <xdr:to>
      <xdr:col>18</xdr:col>
      <xdr:colOff>234438</xdr:colOff>
      <xdr:row>23</xdr:row>
      <xdr:rowOff>159715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49C598-7D91-4FD6-AE85-25D60A325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489858</xdr:colOff>
      <xdr:row>2</xdr:row>
      <xdr:rowOff>136072</xdr:rowOff>
    </xdr:from>
    <xdr:to>
      <xdr:col>19</xdr:col>
      <xdr:colOff>384118</xdr:colOff>
      <xdr:row>24</xdr:row>
      <xdr:rowOff>50858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5EFAE5-1D86-4ABC-8B8D-2E5DA8F9C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BA68F2-68E1-4B7B-ACDF-D7D0374A0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CDC4E4-DD3B-4242-98DF-74386B426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B81F05-75AC-4499-A892-BC6879FDB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C64AFD-1764-4E85-9455-AB4775947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A2E51E-0C41-467D-A7D3-5D12F605E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598714</xdr:colOff>
      <xdr:row>2</xdr:row>
      <xdr:rowOff>163287</xdr:rowOff>
    </xdr:from>
    <xdr:to>
      <xdr:col>19</xdr:col>
      <xdr:colOff>492974</xdr:colOff>
      <xdr:row>24</xdr:row>
      <xdr:rowOff>78073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4C4C6-74DA-4DF9-8868-E5FCEF8D8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530678</xdr:colOff>
      <xdr:row>3</xdr:row>
      <xdr:rowOff>1</xdr:rowOff>
    </xdr:from>
    <xdr:to>
      <xdr:col>19</xdr:col>
      <xdr:colOff>1023652</xdr:colOff>
      <xdr:row>24</xdr:row>
      <xdr:rowOff>105287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6A95FF-705B-4E21-82FA-3CB78AE6B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530678</xdr:colOff>
      <xdr:row>3</xdr:row>
      <xdr:rowOff>1</xdr:rowOff>
    </xdr:from>
    <xdr:to>
      <xdr:col>19</xdr:col>
      <xdr:colOff>1023652</xdr:colOff>
      <xdr:row>24</xdr:row>
      <xdr:rowOff>105287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A9DE62-D170-41F4-A8F6-0DA977EA2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27E1-D670-4886-9851-41E056380B77}">
  <sheetPr>
    <tabColor theme="3"/>
  </sheetPr>
  <dimension ref="D2:G18"/>
  <sheetViews>
    <sheetView zoomScale="80" zoomScaleNormal="80" workbookViewId="0">
      <selection activeCell="W14" sqref="W14"/>
    </sheetView>
  </sheetViews>
  <sheetFormatPr defaultRowHeight="15" x14ac:dyDescent="0.25"/>
  <cols>
    <col min="5" max="7" width="11.42578125" bestFit="1" customWidth="1"/>
  </cols>
  <sheetData>
    <row r="2" spans="4:7" ht="21" x14ac:dyDescent="0.35">
      <c r="D2" s="4" t="s">
        <v>48</v>
      </c>
      <c r="E2" s="4"/>
      <c r="F2" s="4"/>
      <c r="G2" s="4"/>
    </row>
    <row r="6" spans="4:7" x14ac:dyDescent="0.25">
      <c r="E6" s="1" t="s">
        <v>12</v>
      </c>
      <c r="F6" s="1" t="s">
        <v>13</v>
      </c>
      <c r="G6" t="s">
        <v>46</v>
      </c>
    </row>
    <row r="7" spans="4:7" x14ac:dyDescent="0.25">
      <c r="D7" t="s">
        <v>0</v>
      </c>
      <c r="E7" s="2">
        <v>1578748.03090545</v>
      </c>
      <c r="F7" s="3">
        <v>791711.80558043998</v>
      </c>
      <c r="G7" s="3">
        <f xml:space="preserve"> 0.5015*E7 - 0.000001</f>
        <v>791742.13749808306</v>
      </c>
    </row>
    <row r="8" spans="4:7" x14ac:dyDescent="0.25">
      <c r="D8" t="s">
        <v>1</v>
      </c>
      <c r="E8" s="2">
        <v>1589887.1385826301</v>
      </c>
      <c r="F8" s="3">
        <v>797297.85406885797</v>
      </c>
      <c r="G8" s="3">
        <f t="shared" ref="G8:G18" si="0" xml:space="preserve"> 0.5015*E8 - 0.000001</f>
        <v>797328.39999818895</v>
      </c>
    </row>
    <row r="9" spans="4:7" x14ac:dyDescent="0.25">
      <c r="D9" t="s">
        <v>2</v>
      </c>
      <c r="E9" s="2">
        <v>1601026.2462597999</v>
      </c>
      <c r="F9" s="3">
        <v>802883.90255727596</v>
      </c>
      <c r="G9" s="3">
        <f t="shared" si="0"/>
        <v>802914.6624982896</v>
      </c>
    </row>
    <row r="10" spans="4:7" x14ac:dyDescent="0.25">
      <c r="D10" t="s">
        <v>3</v>
      </c>
      <c r="E10" s="2">
        <v>1612165.35393697</v>
      </c>
      <c r="F10" s="3">
        <v>808469.95104579802</v>
      </c>
      <c r="G10" s="3">
        <f t="shared" si="0"/>
        <v>808500.92499839037</v>
      </c>
    </row>
    <row r="11" spans="4:7" x14ac:dyDescent="0.25">
      <c r="D11" t="s">
        <v>4</v>
      </c>
      <c r="E11" s="2">
        <v>1623304.4616141401</v>
      </c>
      <c r="F11" s="3">
        <v>814055.99953421601</v>
      </c>
      <c r="G11" s="3">
        <f t="shared" si="0"/>
        <v>814087.18749849114</v>
      </c>
    </row>
    <row r="12" spans="4:7" x14ac:dyDescent="0.25">
      <c r="D12" t="s">
        <v>5</v>
      </c>
      <c r="E12" s="2">
        <v>1634443.5692913099</v>
      </c>
      <c r="F12" s="3">
        <v>819642.048022634</v>
      </c>
      <c r="G12" s="3">
        <f t="shared" si="0"/>
        <v>819673.44999859179</v>
      </c>
    </row>
    <row r="13" spans="4:7" x14ac:dyDescent="0.25">
      <c r="D13" t="s">
        <v>6</v>
      </c>
      <c r="E13" s="2">
        <v>1645582.67696849</v>
      </c>
      <c r="F13" s="3">
        <v>825228.09651105199</v>
      </c>
      <c r="G13" s="3">
        <f t="shared" si="0"/>
        <v>825259.71249869769</v>
      </c>
    </row>
    <row r="14" spans="4:7" x14ac:dyDescent="0.25">
      <c r="D14" t="s">
        <v>7</v>
      </c>
      <c r="E14" s="2">
        <v>1656721.7846456601</v>
      </c>
      <c r="F14" s="3">
        <v>830814.14499946998</v>
      </c>
      <c r="G14" s="3">
        <f t="shared" si="0"/>
        <v>830845.97499879845</v>
      </c>
    </row>
    <row r="15" spans="4:7" x14ac:dyDescent="0.25">
      <c r="D15" t="s">
        <v>8</v>
      </c>
      <c r="E15" s="2">
        <v>1667860.8923228299</v>
      </c>
      <c r="F15" s="3">
        <v>836400.19348794001</v>
      </c>
      <c r="G15" s="3">
        <f t="shared" si="0"/>
        <v>836432.23749889911</v>
      </c>
    </row>
    <row r="16" spans="4:7" x14ac:dyDescent="0.25">
      <c r="D16" t="s">
        <v>9</v>
      </c>
      <c r="E16" s="2">
        <v>1679000</v>
      </c>
      <c r="F16" s="3">
        <v>841986.241976358</v>
      </c>
      <c r="G16" s="3">
        <f t="shared" si="0"/>
        <v>842018.49999899988</v>
      </c>
    </row>
    <row r="17" spans="4:7" x14ac:dyDescent="0.25">
      <c r="D17" t="s">
        <v>10</v>
      </c>
      <c r="E17" s="2">
        <v>1679000</v>
      </c>
      <c r="F17" s="3">
        <v>841986.241976358</v>
      </c>
      <c r="G17" s="3">
        <f>MAX(G7:G16)</f>
        <v>842018.49999899988</v>
      </c>
    </row>
    <row r="18" spans="4:7" x14ac:dyDescent="0.25">
      <c r="D18" t="s">
        <v>11</v>
      </c>
      <c r="E18" s="2">
        <v>1578748.03090545</v>
      </c>
      <c r="F18" s="3">
        <v>791711.80558043998</v>
      </c>
      <c r="G18" s="3">
        <f>MIN(G7:G16)</f>
        <v>791742.13749808306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2DC9-0BE1-433A-8EAC-1D2CD8849B92}">
  <sheetPr>
    <tabColor theme="1"/>
  </sheetPr>
  <dimension ref="D2:G18"/>
  <sheetViews>
    <sheetView zoomScale="80" zoomScaleNormal="80" workbookViewId="0">
      <selection activeCell="E6" sqref="E6:G6"/>
    </sheetView>
  </sheetViews>
  <sheetFormatPr defaultRowHeight="15" x14ac:dyDescent="0.25"/>
  <cols>
    <col min="5" max="7" width="11.42578125" bestFit="1" customWidth="1"/>
  </cols>
  <sheetData>
    <row r="2" spans="4:7" ht="21" x14ac:dyDescent="0.35">
      <c r="D2" s="4" t="s">
        <v>47</v>
      </c>
      <c r="E2" s="4"/>
      <c r="F2" s="4"/>
      <c r="G2" s="4"/>
    </row>
    <row r="6" spans="4:7" x14ac:dyDescent="0.25">
      <c r="E6" s="1" t="s">
        <v>12</v>
      </c>
      <c r="F6" s="1" t="s">
        <v>13</v>
      </c>
      <c r="G6" t="s">
        <v>46</v>
      </c>
    </row>
    <row r="7" spans="4:7" x14ac:dyDescent="0.25">
      <c r="D7" t="s">
        <v>0</v>
      </c>
      <c r="E7" s="3">
        <v>2452830.8088101801</v>
      </c>
      <c r="F7" s="3">
        <v>4485735.67838977</v>
      </c>
      <c r="G7" s="3">
        <f>1.8288*E7</f>
        <v>4485736.983152057</v>
      </c>
    </row>
    <row r="8" spans="4:7" x14ac:dyDescent="0.25">
      <c r="D8" t="s">
        <v>1</v>
      </c>
      <c r="E8" s="3">
        <v>2463960.71894238</v>
      </c>
      <c r="F8" s="3">
        <v>4506090.0521191396</v>
      </c>
      <c r="G8" s="3">
        <f t="shared" ref="G8:G16" si="0">1.8288*E8</f>
        <v>4506091.3628018247</v>
      </c>
    </row>
    <row r="9" spans="4:7" x14ac:dyDescent="0.25">
      <c r="D9" t="s">
        <v>2</v>
      </c>
      <c r="E9" s="3">
        <v>2475090.62907458</v>
      </c>
      <c r="F9" s="3">
        <v>4526444.4258484105</v>
      </c>
      <c r="G9" s="3">
        <f t="shared" si="0"/>
        <v>4526445.7424515923</v>
      </c>
    </row>
    <row r="10" spans="4:7" x14ac:dyDescent="0.25">
      <c r="D10" t="s">
        <v>3</v>
      </c>
      <c r="E10" s="3">
        <v>2486220.5392067898</v>
      </c>
      <c r="F10" s="3">
        <v>4546798.7995777205</v>
      </c>
      <c r="G10" s="3">
        <f t="shared" si="0"/>
        <v>4546800.1221013768</v>
      </c>
    </row>
    <row r="11" spans="4:7" x14ac:dyDescent="0.25">
      <c r="D11" t="s">
        <v>4</v>
      </c>
      <c r="E11" s="3">
        <v>2497350.4493389898</v>
      </c>
      <c r="F11" s="3">
        <v>4567153.1733069904</v>
      </c>
      <c r="G11" s="3">
        <f t="shared" si="0"/>
        <v>4567154.5017511444</v>
      </c>
    </row>
    <row r="12" spans="4:7" x14ac:dyDescent="0.25">
      <c r="D12" t="s">
        <v>5</v>
      </c>
      <c r="E12" s="3">
        <v>2508480.3594711898</v>
      </c>
      <c r="F12" s="3">
        <v>4587507.5470363498</v>
      </c>
      <c r="G12" s="3">
        <f t="shared" si="0"/>
        <v>4587508.8814009121</v>
      </c>
    </row>
    <row r="13" spans="4:7" x14ac:dyDescent="0.25">
      <c r="D13" t="s">
        <v>6</v>
      </c>
      <c r="E13" s="3">
        <v>2519610.2696033898</v>
      </c>
      <c r="F13" s="3">
        <v>4607861.92076567</v>
      </c>
      <c r="G13" s="3">
        <f t="shared" si="0"/>
        <v>4607863.2610506788</v>
      </c>
    </row>
    <row r="14" spans="4:7" x14ac:dyDescent="0.25">
      <c r="D14" t="s">
        <v>7</v>
      </c>
      <c r="E14" s="3">
        <v>2530740.1797355898</v>
      </c>
      <c r="F14" s="3">
        <v>4628216.2944949297</v>
      </c>
      <c r="G14" s="3">
        <f t="shared" si="0"/>
        <v>4628217.6407004464</v>
      </c>
    </row>
    <row r="15" spans="4:7" x14ac:dyDescent="0.25">
      <c r="D15" t="s">
        <v>8</v>
      </c>
      <c r="E15" s="3">
        <v>2541870.0898678</v>
      </c>
      <c r="F15" s="3">
        <v>4648570.6682243003</v>
      </c>
      <c r="G15" s="3">
        <f t="shared" si="0"/>
        <v>4648572.0203502327</v>
      </c>
    </row>
    <row r="16" spans="4:7" x14ac:dyDescent="0.25">
      <c r="D16" t="s">
        <v>9</v>
      </c>
      <c r="E16" s="3">
        <v>2553000</v>
      </c>
      <c r="F16" s="3">
        <v>4668925.0419535702</v>
      </c>
      <c r="G16" s="3">
        <f t="shared" si="0"/>
        <v>4668926.4000000004</v>
      </c>
    </row>
    <row r="17" spans="4:7" x14ac:dyDescent="0.25">
      <c r="D17" t="s">
        <v>10</v>
      </c>
      <c r="E17" s="3">
        <v>2553000</v>
      </c>
      <c r="F17" s="3">
        <v>4668925.0419535702</v>
      </c>
      <c r="G17" s="3">
        <f>MAX(G7:G16)</f>
        <v>4668926.4000000004</v>
      </c>
    </row>
    <row r="18" spans="4:7" x14ac:dyDescent="0.25">
      <c r="D18" t="s">
        <v>11</v>
      </c>
      <c r="E18" s="3">
        <v>2452830.8088101801</v>
      </c>
      <c r="F18" s="3">
        <v>4485735.67838977</v>
      </c>
      <c r="G18" s="3">
        <f>MIN(G7:G16)</f>
        <v>4485736.983152057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3541-57CA-413F-B28A-7D0C51569076}">
  <sheetPr>
    <tabColor rgb="FFFF0000"/>
  </sheetPr>
  <dimension ref="D2:K18"/>
  <sheetViews>
    <sheetView zoomScale="80" zoomScaleNormal="80" workbookViewId="0">
      <selection activeCell="G16" sqref="G16"/>
    </sheetView>
  </sheetViews>
  <sheetFormatPr defaultRowHeight="15" x14ac:dyDescent="0.25"/>
  <cols>
    <col min="5" max="5" width="11.42578125" bestFit="1" customWidth="1"/>
    <col min="6" max="6" width="23.7109375" bestFit="1" customWidth="1"/>
    <col min="7" max="7" width="43.85546875" bestFit="1" customWidth="1"/>
  </cols>
  <sheetData>
    <row r="2" spans="4:11" ht="21" x14ac:dyDescent="0.35">
      <c r="D2" s="4" t="s">
        <v>17</v>
      </c>
      <c r="E2" s="4"/>
      <c r="F2" s="4"/>
      <c r="G2" s="4"/>
      <c r="H2" t="s">
        <v>19</v>
      </c>
    </row>
    <row r="5" spans="4:11" x14ac:dyDescent="0.25">
      <c r="D5" t="s">
        <v>14</v>
      </c>
      <c r="F5" t="s">
        <v>15</v>
      </c>
      <c r="G5" t="s">
        <v>16</v>
      </c>
      <c r="K5" s="2">
        <v>1350000</v>
      </c>
    </row>
    <row r="6" spans="4:11" x14ac:dyDescent="0.25">
      <c r="E6" s="1"/>
      <c r="F6" s="1"/>
    </row>
    <row r="7" spans="4:11" x14ac:dyDescent="0.25">
      <c r="E7" s="3"/>
      <c r="F7" s="3"/>
    </row>
    <row r="8" spans="4:11" x14ac:dyDescent="0.25">
      <c r="E8" s="3"/>
      <c r="F8" s="3"/>
      <c r="G8" s="2"/>
    </row>
    <row r="9" spans="4:11" x14ac:dyDescent="0.25">
      <c r="E9" s="3"/>
      <c r="F9" s="3"/>
    </row>
    <row r="10" spans="4:11" x14ac:dyDescent="0.25">
      <c r="E10" s="3"/>
      <c r="F10" s="3"/>
    </row>
    <row r="11" spans="4:11" x14ac:dyDescent="0.25">
      <c r="E11" s="3"/>
      <c r="F11" s="3"/>
    </row>
    <row r="12" spans="4:11" x14ac:dyDescent="0.25">
      <c r="E12" s="3"/>
      <c r="F12" s="3"/>
    </row>
    <row r="13" spans="4:11" x14ac:dyDescent="0.25">
      <c r="E13" s="3"/>
      <c r="F13" s="3"/>
    </row>
    <row r="14" spans="4:11" x14ac:dyDescent="0.25">
      <c r="E14" s="3"/>
      <c r="F14" s="3"/>
    </row>
    <row r="15" spans="4:11" x14ac:dyDescent="0.25">
      <c r="E15" s="3"/>
      <c r="F15" s="3"/>
    </row>
    <row r="16" spans="4:11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3FC-1616-4D39-B606-44AD3F2845AF}">
  <sheetPr>
    <tabColor theme="9" tint="-0.249977111117893"/>
  </sheetPr>
  <dimension ref="D2:K18"/>
  <sheetViews>
    <sheetView zoomScaleNormal="100" workbookViewId="0">
      <selection activeCell="G28" sqref="G28"/>
    </sheetView>
  </sheetViews>
  <sheetFormatPr defaultRowHeight="15" x14ac:dyDescent="0.25"/>
  <cols>
    <col min="5" max="5" width="11.42578125" bestFit="1" customWidth="1"/>
    <col min="6" max="6" width="23.7109375" bestFit="1" customWidth="1"/>
    <col min="7" max="7" width="27.5703125" bestFit="1" customWidth="1"/>
  </cols>
  <sheetData>
    <row r="2" spans="4:11" ht="21" x14ac:dyDescent="0.35">
      <c r="D2" s="4" t="s">
        <v>20</v>
      </c>
      <c r="E2" s="4"/>
      <c r="F2" s="4"/>
      <c r="G2" s="4"/>
    </row>
    <row r="5" spans="4:11" x14ac:dyDescent="0.25">
      <c r="D5" t="s">
        <v>22</v>
      </c>
      <c r="F5" t="s">
        <v>21</v>
      </c>
      <c r="G5" t="s">
        <v>23</v>
      </c>
      <c r="K5" s="2"/>
    </row>
    <row r="6" spans="4:11" x14ac:dyDescent="0.25">
      <c r="E6" s="1"/>
      <c r="F6" s="1"/>
    </row>
    <row r="7" spans="4:11" x14ac:dyDescent="0.25">
      <c r="E7" s="3"/>
      <c r="F7" s="3"/>
    </row>
    <row r="8" spans="4:11" x14ac:dyDescent="0.25">
      <c r="E8" s="3"/>
      <c r="F8" s="3"/>
      <c r="G8" s="2">
        <v>5400000</v>
      </c>
    </row>
    <row r="9" spans="4:11" x14ac:dyDescent="0.25">
      <c r="E9" s="3"/>
      <c r="F9" s="3"/>
    </row>
    <row r="10" spans="4:11" x14ac:dyDescent="0.25">
      <c r="E10" s="3"/>
      <c r="F10" s="3"/>
    </row>
    <row r="11" spans="4:11" x14ac:dyDescent="0.25">
      <c r="E11" s="3"/>
      <c r="F11" s="3"/>
    </row>
    <row r="12" spans="4:11" x14ac:dyDescent="0.25">
      <c r="E12" s="3"/>
      <c r="F12" s="3"/>
    </row>
    <row r="13" spans="4:11" x14ac:dyDescent="0.25">
      <c r="E13" s="3"/>
      <c r="F13" s="3"/>
    </row>
    <row r="14" spans="4:11" x14ac:dyDescent="0.25">
      <c r="E14" s="3"/>
      <c r="F14" s="3"/>
    </row>
    <row r="15" spans="4:11" x14ac:dyDescent="0.25">
      <c r="E15" s="3"/>
      <c r="F15" s="3"/>
    </row>
    <row r="16" spans="4:11" x14ac:dyDescent="0.25">
      <c r="E16" s="3"/>
      <c r="F16" s="3"/>
    </row>
    <row r="17" spans="5:6" x14ac:dyDescent="0.25">
      <c r="E17" s="3"/>
      <c r="F17" s="3"/>
    </row>
    <row r="18" spans="5:6" x14ac:dyDescent="0.25">
      <c r="E18" s="3"/>
      <c r="F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6922-3658-42EF-9EB9-2F9CC33B3507}">
  <sheetPr>
    <tabColor theme="8" tint="0.39997558519241921"/>
  </sheetPr>
  <dimension ref="D3:M13"/>
  <sheetViews>
    <sheetView zoomScale="90" zoomScaleNormal="90" workbookViewId="0">
      <selection activeCell="G22" sqref="G22"/>
    </sheetView>
  </sheetViews>
  <sheetFormatPr defaultRowHeight="15" x14ac:dyDescent="0.25"/>
  <cols>
    <col min="6" max="6" width="22" bestFit="1" customWidth="1"/>
    <col min="7" max="7" width="28.42578125" bestFit="1" customWidth="1"/>
    <col min="9" max="9" width="13.28515625" bestFit="1" customWidth="1"/>
  </cols>
  <sheetData>
    <row r="3" spans="4:13" ht="21" x14ac:dyDescent="0.35">
      <c r="D3" s="4" t="s">
        <v>25</v>
      </c>
      <c r="E3" s="4"/>
      <c r="F3" s="4"/>
      <c r="G3" s="4"/>
    </row>
    <row r="5" spans="4:13" x14ac:dyDescent="0.25">
      <c r="I5" t="s">
        <v>28</v>
      </c>
    </row>
    <row r="6" spans="4:13" x14ac:dyDescent="0.25">
      <c r="D6" t="s">
        <v>22</v>
      </c>
      <c r="F6" t="s">
        <v>26</v>
      </c>
      <c r="G6" t="s">
        <v>32</v>
      </c>
      <c r="I6">
        <v>3932651.3781962199</v>
      </c>
    </row>
    <row r="7" spans="4:13" x14ac:dyDescent="0.25">
      <c r="E7" s="1"/>
      <c r="F7" s="1"/>
      <c r="G7" t="s">
        <v>33</v>
      </c>
    </row>
    <row r="8" spans="4:13" x14ac:dyDescent="0.25">
      <c r="E8" s="3"/>
      <c r="F8" s="3"/>
    </row>
    <row r="9" spans="4:13" x14ac:dyDescent="0.25">
      <c r="E9" s="3"/>
      <c r="F9" s="3"/>
      <c r="G9" s="2"/>
    </row>
    <row r="13" spans="4:13" x14ac:dyDescent="0.25">
      <c r="M13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31D-DF75-4EC1-83BB-769B0D456785}">
  <sheetPr>
    <tabColor theme="8" tint="0.39997558519241921"/>
  </sheetPr>
  <dimension ref="D3:M13"/>
  <sheetViews>
    <sheetView zoomScale="90" zoomScaleNormal="90" workbookViewId="0">
      <selection activeCell="D4" sqref="D4"/>
    </sheetView>
  </sheetViews>
  <sheetFormatPr defaultRowHeight="15" x14ac:dyDescent="0.25"/>
  <cols>
    <col min="6" max="6" width="22" bestFit="1" customWidth="1"/>
    <col min="7" max="7" width="28.42578125" bestFit="1" customWidth="1"/>
    <col min="9" max="9" width="13.28515625" bestFit="1" customWidth="1"/>
  </cols>
  <sheetData>
    <row r="3" spans="4:13" ht="21" x14ac:dyDescent="0.35">
      <c r="D3" s="4" t="s">
        <v>36</v>
      </c>
      <c r="E3" s="4"/>
      <c r="F3" s="4"/>
      <c r="G3" s="4"/>
    </row>
    <row r="5" spans="4:13" x14ac:dyDescent="0.25">
      <c r="I5" t="s">
        <v>27</v>
      </c>
    </row>
    <row r="6" spans="4:13" x14ac:dyDescent="0.25">
      <c r="D6" t="s">
        <v>22</v>
      </c>
      <c r="F6" t="s">
        <v>26</v>
      </c>
      <c r="G6" t="s">
        <v>34</v>
      </c>
      <c r="I6">
        <v>3932651.3781962199</v>
      </c>
    </row>
    <row r="7" spans="4:13" x14ac:dyDescent="0.25">
      <c r="E7" s="1"/>
      <c r="F7" s="1"/>
    </row>
    <row r="8" spans="4:13" x14ac:dyDescent="0.25">
      <c r="E8" s="3"/>
      <c r="F8" s="3"/>
    </row>
    <row r="9" spans="4:13" x14ac:dyDescent="0.25">
      <c r="E9" s="3"/>
      <c r="F9" s="3"/>
      <c r="G9" s="2"/>
    </row>
    <row r="13" spans="4:13" x14ac:dyDescent="0.25">
      <c r="M13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CB90-C7E4-49A8-A4E9-DE61E29121E3}">
  <sheetPr>
    <tabColor theme="8" tint="0.39997558519241921"/>
  </sheetPr>
  <dimension ref="D3:M13"/>
  <sheetViews>
    <sheetView zoomScale="90" zoomScaleNormal="90" workbookViewId="0">
      <selection activeCell="F38" sqref="F38"/>
    </sheetView>
  </sheetViews>
  <sheetFormatPr defaultRowHeight="15" x14ac:dyDescent="0.25"/>
  <cols>
    <col min="6" max="6" width="22" bestFit="1" customWidth="1"/>
    <col min="7" max="7" width="28.42578125" bestFit="1" customWidth="1"/>
    <col min="9" max="9" width="13.28515625" bestFit="1" customWidth="1"/>
  </cols>
  <sheetData>
    <row r="3" spans="4:13" ht="21" x14ac:dyDescent="0.35">
      <c r="D3" s="4" t="s">
        <v>30</v>
      </c>
      <c r="E3" s="4"/>
      <c r="F3" s="4"/>
      <c r="G3" s="4"/>
    </row>
    <row r="5" spans="4:13" x14ac:dyDescent="0.25">
      <c r="I5" t="s">
        <v>29</v>
      </c>
    </row>
    <row r="6" spans="4:13" x14ac:dyDescent="0.25">
      <c r="D6" t="s">
        <v>22</v>
      </c>
      <c r="F6" t="s">
        <v>26</v>
      </c>
      <c r="G6" t="s">
        <v>35</v>
      </c>
      <c r="I6">
        <v>3932651.3781962199</v>
      </c>
    </row>
    <row r="7" spans="4:13" x14ac:dyDescent="0.25">
      <c r="E7" s="1"/>
      <c r="F7" s="1"/>
    </row>
    <row r="8" spans="4:13" x14ac:dyDescent="0.25">
      <c r="E8" s="3"/>
      <c r="F8" s="3"/>
    </row>
    <row r="9" spans="4:13" x14ac:dyDescent="0.25">
      <c r="E9" s="3"/>
      <c r="F9" s="3"/>
      <c r="G9" s="2"/>
    </row>
    <row r="13" spans="4:13" x14ac:dyDescent="0.25">
      <c r="M13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A5B4-F0F8-4856-A8E8-A4A309E3148D}">
  <sheetPr>
    <tabColor theme="8" tint="0.39997558519241921"/>
  </sheetPr>
  <dimension ref="D3:M13"/>
  <sheetViews>
    <sheetView zoomScale="90" zoomScaleNormal="90" workbookViewId="0">
      <selection activeCell="F36" sqref="F36"/>
    </sheetView>
  </sheetViews>
  <sheetFormatPr defaultRowHeight="15" x14ac:dyDescent="0.25"/>
  <cols>
    <col min="6" max="6" width="66.140625" customWidth="1"/>
    <col min="7" max="7" width="28.42578125" bestFit="1" customWidth="1"/>
    <col min="9" max="9" width="13.28515625" bestFit="1" customWidth="1"/>
  </cols>
  <sheetData>
    <row r="3" spans="4:13" ht="21" x14ac:dyDescent="0.35">
      <c r="D3" s="4" t="s">
        <v>31</v>
      </c>
      <c r="E3" s="4"/>
      <c r="F3" s="4"/>
      <c r="G3" s="4"/>
    </row>
    <row r="5" spans="4:13" x14ac:dyDescent="0.25">
      <c r="I5" t="s">
        <v>28</v>
      </c>
    </row>
    <row r="6" spans="4:13" x14ac:dyDescent="0.25">
      <c r="D6" t="s">
        <v>22</v>
      </c>
      <c r="F6" t="s">
        <v>38</v>
      </c>
      <c r="G6" t="s">
        <v>32</v>
      </c>
      <c r="I6">
        <v>3932651.3781962199</v>
      </c>
    </row>
    <row r="7" spans="4:13" x14ac:dyDescent="0.25">
      <c r="E7" s="1"/>
      <c r="F7" s="1"/>
    </row>
    <row r="8" spans="4:13" x14ac:dyDescent="0.25">
      <c r="E8" s="3"/>
      <c r="F8" s="3"/>
    </row>
    <row r="9" spans="4:13" x14ac:dyDescent="0.25">
      <c r="E9" s="3"/>
      <c r="F9" s="3"/>
      <c r="G9" s="2"/>
    </row>
    <row r="13" spans="4:13" x14ac:dyDescent="0.25">
      <c r="M13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FBE6-498C-4A18-8D2C-89E93BFAE0E0}">
  <sheetPr>
    <tabColor theme="8" tint="0.39997558519241921"/>
  </sheetPr>
  <dimension ref="D3:M13"/>
  <sheetViews>
    <sheetView zoomScale="90" zoomScaleNormal="90" workbookViewId="0">
      <selection activeCell="F35" sqref="F35"/>
    </sheetView>
  </sheetViews>
  <sheetFormatPr defaultRowHeight="15" x14ac:dyDescent="0.25"/>
  <cols>
    <col min="6" max="6" width="66.140625" customWidth="1"/>
    <col min="7" max="7" width="28.42578125" bestFit="1" customWidth="1"/>
    <col min="9" max="9" width="13.28515625" bestFit="1" customWidth="1"/>
  </cols>
  <sheetData>
    <row r="3" spans="4:13" ht="21" x14ac:dyDescent="0.35">
      <c r="D3" s="4" t="s">
        <v>37</v>
      </c>
      <c r="E3" s="4"/>
      <c r="F3" s="4"/>
      <c r="G3" s="4"/>
    </row>
    <row r="5" spans="4:13" x14ac:dyDescent="0.25">
      <c r="I5" t="s">
        <v>27</v>
      </c>
    </row>
    <row r="6" spans="4:13" x14ac:dyDescent="0.25">
      <c r="D6" t="s">
        <v>22</v>
      </c>
      <c r="F6" t="s">
        <v>38</v>
      </c>
      <c r="G6" t="s">
        <v>34</v>
      </c>
      <c r="I6">
        <v>3932651.3781962199</v>
      </c>
    </row>
    <row r="7" spans="4:13" x14ac:dyDescent="0.25">
      <c r="E7" s="1"/>
      <c r="F7" s="1"/>
    </row>
    <row r="8" spans="4:13" x14ac:dyDescent="0.25">
      <c r="E8" s="3"/>
      <c r="F8" s="3"/>
    </row>
    <row r="9" spans="4:13" x14ac:dyDescent="0.25">
      <c r="E9" s="3"/>
      <c r="F9" s="3"/>
      <c r="G9" s="2"/>
    </row>
    <row r="13" spans="4:13" x14ac:dyDescent="0.25">
      <c r="M13" s="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4EB1-0016-422C-9ECA-0E16360F3283}">
  <sheetPr>
    <tabColor theme="8" tint="0.39997558519241921"/>
  </sheetPr>
  <dimension ref="D2:G19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</cols>
  <sheetData>
    <row r="2" spans="4:7" ht="21" x14ac:dyDescent="0.35">
      <c r="D2" s="4" t="s">
        <v>49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436499.36460801098</v>
      </c>
      <c r="F8" s="3">
        <v>169007.399315533</v>
      </c>
      <c r="G8" s="6">
        <f xml:space="preserve"> 0.3872*E8- 0.000000003</f>
        <v>169012.55397621886</v>
      </c>
    </row>
    <row r="9" spans="4:7" ht="18.75" x14ac:dyDescent="0.3">
      <c r="D9" t="s">
        <v>1</v>
      </c>
      <c r="E9" s="3">
        <v>393166.10187378799</v>
      </c>
      <c r="F9" s="3">
        <v>152229.27171127699</v>
      </c>
      <c r="G9" s="6">
        <f t="shared" ref="G9:G17" si="0" xml:space="preserve"> 0.3872*E9- 0.000000003</f>
        <v>152233.91464552772</v>
      </c>
    </row>
    <row r="10" spans="4:7" ht="18.75" x14ac:dyDescent="0.3">
      <c r="D10" t="s">
        <v>2</v>
      </c>
      <c r="E10" s="3">
        <v>349832.83913956402</v>
      </c>
      <c r="F10" s="3">
        <v>135451.14410702701</v>
      </c>
      <c r="G10" s="6">
        <f t="shared" si="0"/>
        <v>135455.27531483618</v>
      </c>
    </row>
    <row r="11" spans="4:7" ht="18.75" x14ac:dyDescent="0.3">
      <c r="D11" t="s">
        <v>3</v>
      </c>
      <c r="E11" s="3">
        <v>306499.57640534098</v>
      </c>
      <c r="F11" s="3">
        <v>118673.016502771</v>
      </c>
      <c r="G11" s="6">
        <f t="shared" si="0"/>
        <v>118676.63598414503</v>
      </c>
    </row>
    <row r="12" spans="4:7" ht="18.75" x14ac:dyDescent="0.3">
      <c r="D12" t="s">
        <v>4</v>
      </c>
      <c r="E12" s="3">
        <v>263166.31367111701</v>
      </c>
      <c r="F12" s="3">
        <v>101894.888898522</v>
      </c>
      <c r="G12" s="6">
        <f t="shared" si="0"/>
        <v>101897.99665345351</v>
      </c>
    </row>
    <row r="13" spans="4:7" ht="18.75" x14ac:dyDescent="0.3">
      <c r="D13" t="s">
        <v>5</v>
      </c>
      <c r="E13" s="3">
        <v>219833.050936894</v>
      </c>
      <c r="F13" s="3">
        <v>85116.761294272903</v>
      </c>
      <c r="G13" s="6">
        <f t="shared" si="0"/>
        <v>85119.357322762356</v>
      </c>
    </row>
    <row r="14" spans="4:7" ht="18.75" x14ac:dyDescent="0.3">
      <c r="D14" t="s">
        <v>6</v>
      </c>
      <c r="E14" s="3">
        <v>176499.78820267</v>
      </c>
      <c r="F14" s="3">
        <v>68338.633690023606</v>
      </c>
      <c r="G14" s="6">
        <f t="shared" si="0"/>
        <v>68340.717992070829</v>
      </c>
    </row>
    <row r="15" spans="4:7" ht="18.75" x14ac:dyDescent="0.3">
      <c r="D15" t="s">
        <v>7</v>
      </c>
      <c r="E15" s="3">
        <v>133166.52546844701</v>
      </c>
      <c r="F15" s="3">
        <v>51560.506085770998</v>
      </c>
      <c r="G15" s="6">
        <f t="shared" si="0"/>
        <v>51562.078661379681</v>
      </c>
    </row>
    <row r="16" spans="4:7" ht="18.75" x14ac:dyDescent="0.3">
      <c r="D16" t="s">
        <v>8</v>
      </c>
      <c r="E16" s="3">
        <v>89833.262734223506</v>
      </c>
      <c r="F16" s="3">
        <v>34782.378481519998</v>
      </c>
      <c r="G16" s="6">
        <f t="shared" si="0"/>
        <v>34783.439330688343</v>
      </c>
    </row>
    <row r="17" spans="4:7" ht="18.75" x14ac:dyDescent="0.3">
      <c r="D17" t="s">
        <v>9</v>
      </c>
      <c r="E17" s="3">
        <v>46500</v>
      </c>
      <c r="F17" s="3">
        <v>18004.250877270701</v>
      </c>
      <c r="G17" s="6">
        <f t="shared" si="0"/>
        <v>18004.799999996998</v>
      </c>
    </row>
    <row r="18" spans="4:7" ht="18.75" x14ac:dyDescent="0.3">
      <c r="D18" t="s">
        <v>10</v>
      </c>
      <c r="E18" s="3">
        <v>436499.36460801098</v>
      </c>
      <c r="F18" s="3">
        <v>169007.399315533</v>
      </c>
      <c r="G18" s="6"/>
    </row>
    <row r="19" spans="4:7" ht="18.75" x14ac:dyDescent="0.3">
      <c r="D19" t="s">
        <v>11</v>
      </c>
      <c r="E19">
        <v>46500</v>
      </c>
      <c r="F19">
        <v>18004.250877270701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D3AE-E17C-46FD-B051-ECD69FB3B852}">
  <sheetPr>
    <tabColor rgb="FFFF0000"/>
  </sheetPr>
  <dimension ref="D2:H19"/>
  <sheetViews>
    <sheetView zoomScale="60" zoomScaleNormal="60" workbookViewId="0">
      <selection activeCell="V41" sqref="V41"/>
    </sheetView>
  </sheetViews>
  <sheetFormatPr defaultRowHeight="15" x14ac:dyDescent="0.25"/>
  <cols>
    <col min="5" max="5" width="11.42578125" bestFit="1" customWidth="1"/>
    <col min="6" max="6" width="23.7109375" bestFit="1" customWidth="1"/>
    <col min="7" max="7" width="27.5703125" bestFit="1" customWidth="1"/>
    <col min="8" max="8" width="16.7109375" customWidth="1"/>
  </cols>
  <sheetData>
    <row r="2" spans="4:8" ht="21" x14ac:dyDescent="0.35">
      <c r="D2" s="4" t="s">
        <v>18</v>
      </c>
      <c r="E2" s="4"/>
      <c r="F2" s="4"/>
      <c r="G2" s="4"/>
    </row>
    <row r="6" spans="4:8" x14ac:dyDescent="0.25">
      <c r="E6" s="1"/>
      <c r="F6" s="1"/>
    </row>
    <row r="7" spans="4:8" x14ac:dyDescent="0.25">
      <c r="E7" s="3"/>
      <c r="F7" s="3"/>
      <c r="G7" t="s">
        <v>46</v>
      </c>
      <c r="H7" t="s">
        <v>50</v>
      </c>
    </row>
    <row r="8" spans="4:8" ht="18.75" x14ac:dyDescent="0.3">
      <c r="D8" t="s">
        <v>0</v>
      </c>
      <c r="E8" s="3">
        <v>125739.89413960101</v>
      </c>
      <c r="F8" s="3">
        <v>488464.12253783399</v>
      </c>
      <c r="G8" s="6">
        <f>3.8847*E8+ 0.0000001</f>
        <v>488461.76676420803</v>
      </c>
      <c r="H8" s="3">
        <f>F8-G8</f>
        <v>2.3557736259535886</v>
      </c>
    </row>
    <row r="9" spans="4:8" ht="18.75" x14ac:dyDescent="0.3">
      <c r="D9" t="s">
        <v>1</v>
      </c>
      <c r="E9" s="3">
        <v>126846.572568534</v>
      </c>
      <c r="F9" s="3">
        <v>492763.25696465402</v>
      </c>
      <c r="G9" s="6">
        <f t="shared" ref="G9:G19" si="0">3.8847*E9+ 0.0000001</f>
        <v>492760.88045708404</v>
      </c>
      <c r="H9" s="3">
        <f t="shared" ref="H9:H17" si="1">F9-G9</f>
        <v>2.376507569977548</v>
      </c>
    </row>
    <row r="10" spans="4:8" ht="18.75" x14ac:dyDescent="0.3">
      <c r="D10" t="s">
        <v>2</v>
      </c>
      <c r="E10" s="3">
        <v>127953.250997467</v>
      </c>
      <c r="F10" s="3">
        <v>497062.39139147801</v>
      </c>
      <c r="G10" s="6">
        <f t="shared" si="0"/>
        <v>497059.99414996005</v>
      </c>
      <c r="H10" s="3">
        <f t="shared" si="1"/>
        <v>2.3972415179596283</v>
      </c>
    </row>
    <row r="11" spans="4:8" ht="18.75" x14ac:dyDescent="0.3">
      <c r="D11" t="s">
        <v>3</v>
      </c>
      <c r="E11" s="3">
        <v>129059.92942640099</v>
      </c>
      <c r="F11" s="3">
        <v>501361.52581829799</v>
      </c>
      <c r="G11" s="6">
        <f t="shared" si="0"/>
        <v>501359.10784283996</v>
      </c>
      <c r="H11" s="3">
        <f t="shared" si="1"/>
        <v>2.4179754580254667</v>
      </c>
    </row>
    <row r="12" spans="4:8" ht="18.75" x14ac:dyDescent="0.3">
      <c r="D12" t="s">
        <v>4</v>
      </c>
      <c r="E12" s="3">
        <v>130166.607855334</v>
      </c>
      <c r="F12" s="3">
        <v>505660.66024511802</v>
      </c>
      <c r="G12" s="6">
        <f t="shared" si="0"/>
        <v>505658.22153571603</v>
      </c>
      <c r="H12" s="3">
        <f t="shared" si="1"/>
        <v>2.4387094019912183</v>
      </c>
    </row>
    <row r="13" spans="4:8" ht="18.75" x14ac:dyDescent="0.3">
      <c r="D13" t="s">
        <v>5</v>
      </c>
      <c r="E13" s="3">
        <v>131273.286284267</v>
      </c>
      <c r="F13" s="3">
        <v>509959.79467194102</v>
      </c>
      <c r="G13" s="6">
        <f t="shared" si="0"/>
        <v>509957.33522859204</v>
      </c>
      <c r="H13" s="3">
        <f t="shared" si="1"/>
        <v>2.4594433489837684</v>
      </c>
    </row>
    <row r="14" spans="4:8" ht="18.75" x14ac:dyDescent="0.3">
      <c r="D14" t="s">
        <v>6</v>
      </c>
      <c r="E14" s="3">
        <v>132379.9647132</v>
      </c>
      <c r="F14" s="3">
        <v>514258.929098761</v>
      </c>
      <c r="G14" s="6">
        <f t="shared" si="0"/>
        <v>514256.44892146805</v>
      </c>
      <c r="H14" s="3">
        <f t="shared" si="1"/>
        <v>2.4801772929495201</v>
      </c>
    </row>
    <row r="15" spans="4:8" ht="18.75" x14ac:dyDescent="0.3">
      <c r="D15" t="s">
        <v>7</v>
      </c>
      <c r="E15" s="3">
        <v>133486.64314213299</v>
      </c>
      <c r="F15" s="3">
        <v>518558.06352558499</v>
      </c>
      <c r="G15" s="6">
        <f t="shared" si="0"/>
        <v>518555.56261434406</v>
      </c>
      <c r="H15" s="3">
        <f t="shared" si="1"/>
        <v>2.5009112409316003</v>
      </c>
    </row>
    <row r="16" spans="4:8" ht="18.75" x14ac:dyDescent="0.3">
      <c r="D16" t="s">
        <v>8</v>
      </c>
      <c r="E16" s="3">
        <v>134593.321571067</v>
      </c>
      <c r="F16" s="3">
        <v>522857.19795240101</v>
      </c>
      <c r="G16" s="6">
        <f t="shared" si="0"/>
        <v>522854.67630722403</v>
      </c>
      <c r="H16" s="3">
        <f t="shared" si="1"/>
        <v>2.5216451769811101</v>
      </c>
    </row>
    <row r="17" spans="4:8" ht="18.75" x14ac:dyDescent="0.3">
      <c r="D17" t="s">
        <v>9</v>
      </c>
      <c r="E17" s="3">
        <v>135700</v>
      </c>
      <c r="F17" s="3">
        <v>527156.33237922494</v>
      </c>
      <c r="G17" s="6">
        <f t="shared" si="0"/>
        <v>527153.79000010004</v>
      </c>
      <c r="H17" s="3">
        <f t="shared" si="1"/>
        <v>2.5423791249049827</v>
      </c>
    </row>
    <row r="18" spans="4:8" ht="18.75" x14ac:dyDescent="0.3">
      <c r="D18" t="s">
        <v>10</v>
      </c>
      <c r="E18" s="3">
        <v>135700</v>
      </c>
      <c r="F18" s="3">
        <v>527156.33237922494</v>
      </c>
      <c r="G18" s="6"/>
    </row>
    <row r="19" spans="4:8" ht="18.75" x14ac:dyDescent="0.3">
      <c r="D19" t="s">
        <v>11</v>
      </c>
      <c r="E19">
        <v>125739.89413960101</v>
      </c>
      <c r="F19">
        <v>488464.12253783399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4667-A252-4025-A1AC-6CFE7B78C8DF}">
  <sheetPr>
    <tabColor theme="4" tint="-0.249977111117893"/>
  </sheetPr>
  <dimension ref="D2:G19"/>
  <sheetViews>
    <sheetView zoomScale="80" zoomScaleNormal="80" workbookViewId="0">
      <selection activeCell="E7" sqref="E7:G7"/>
    </sheetView>
  </sheetViews>
  <sheetFormatPr defaultRowHeight="15" x14ac:dyDescent="0.25"/>
  <cols>
    <col min="5" max="5" width="11.4257812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39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x14ac:dyDescent="0.25">
      <c r="D8" t="s">
        <v>0</v>
      </c>
      <c r="E8" s="3">
        <v>124099.47650064201</v>
      </c>
      <c r="F8" s="3">
        <v>869117.24350062001</v>
      </c>
      <c r="G8" s="2">
        <f>7.0034*E8 + 0.0000005</f>
        <v>869118.27372509625</v>
      </c>
    </row>
    <row r="9" spans="4:7" x14ac:dyDescent="0.25">
      <c r="D9" t="s">
        <v>1</v>
      </c>
      <c r="E9" s="3">
        <v>125210.645778349</v>
      </c>
      <c r="F9" s="3">
        <v>876899.19719562796</v>
      </c>
      <c r="G9" s="2">
        <f t="shared" ref="G9:G17" si="0">7.0034*E9 + 0.0000005</f>
        <v>876900.23664458946</v>
      </c>
    </row>
    <row r="10" spans="4:7" x14ac:dyDescent="0.25">
      <c r="D10" t="s">
        <v>2</v>
      </c>
      <c r="E10" s="3">
        <v>126321.815056055</v>
      </c>
      <c r="F10" s="3">
        <v>884681.15089063602</v>
      </c>
      <c r="G10" s="2">
        <f t="shared" si="0"/>
        <v>884682.19956407556</v>
      </c>
    </row>
    <row r="11" spans="4:7" x14ac:dyDescent="0.25">
      <c r="D11" t="s">
        <v>3</v>
      </c>
      <c r="E11" s="3">
        <v>127432.984333762</v>
      </c>
      <c r="F11" s="3">
        <v>892463.10458564397</v>
      </c>
      <c r="G11" s="2">
        <f t="shared" si="0"/>
        <v>892464.16248356877</v>
      </c>
    </row>
    <row r="12" spans="4:7" x14ac:dyDescent="0.25">
      <c r="D12" t="s">
        <v>4</v>
      </c>
      <c r="E12" s="3">
        <v>128544.15361146801</v>
      </c>
      <c r="F12" s="3">
        <v>900245.05828065297</v>
      </c>
      <c r="G12" s="2">
        <f t="shared" si="0"/>
        <v>900246.12540305499</v>
      </c>
    </row>
    <row r="13" spans="4:7" x14ac:dyDescent="0.25">
      <c r="D13" t="s">
        <v>5</v>
      </c>
      <c r="E13" s="3">
        <v>129655.322889174</v>
      </c>
      <c r="F13" s="3">
        <v>908027.01197566104</v>
      </c>
      <c r="G13" s="2">
        <f t="shared" si="0"/>
        <v>908028.08832254121</v>
      </c>
    </row>
    <row r="14" spans="4:7" x14ac:dyDescent="0.25">
      <c r="D14" t="s">
        <v>6</v>
      </c>
      <c r="E14" s="3">
        <v>130766.492166881</v>
      </c>
      <c r="F14" s="3">
        <v>915808.96567066899</v>
      </c>
      <c r="G14" s="2">
        <f t="shared" si="0"/>
        <v>915810.05124203442</v>
      </c>
    </row>
    <row r="15" spans="4:7" x14ac:dyDescent="0.25">
      <c r="D15" t="s">
        <v>7</v>
      </c>
      <c r="E15" s="3">
        <v>131877.66144458699</v>
      </c>
      <c r="F15" s="3">
        <v>923590.91936567798</v>
      </c>
      <c r="G15" s="2">
        <f t="shared" si="0"/>
        <v>923592.01416152052</v>
      </c>
    </row>
    <row r="16" spans="4:7" x14ac:dyDescent="0.25">
      <c r="D16" t="s">
        <v>8</v>
      </c>
      <c r="E16" s="3">
        <v>132988.83072229399</v>
      </c>
      <c r="F16" s="3">
        <v>931372.87306068605</v>
      </c>
      <c r="G16" s="2">
        <f t="shared" si="0"/>
        <v>931373.97708101373</v>
      </c>
    </row>
    <row r="17" spans="4:7" x14ac:dyDescent="0.25">
      <c r="D17" t="s">
        <v>9</v>
      </c>
      <c r="E17" s="3">
        <v>134100</v>
      </c>
      <c r="F17" s="3">
        <v>939154.82675569097</v>
      </c>
      <c r="G17" s="2">
        <f t="shared" si="0"/>
        <v>939155.94000050006</v>
      </c>
    </row>
    <row r="18" spans="4:7" x14ac:dyDescent="0.25">
      <c r="D18" t="s">
        <v>10</v>
      </c>
      <c r="E18" s="3">
        <v>134100</v>
      </c>
      <c r="F18" s="3">
        <v>939154.82675569097</v>
      </c>
    </row>
    <row r="19" spans="4:7" x14ac:dyDescent="0.25">
      <c r="D19" t="s">
        <v>11</v>
      </c>
      <c r="E19">
        <v>124099.47650064201</v>
      </c>
      <c r="F19">
        <v>869117.24350062001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2E9A-4BF6-4B3C-B801-27FCF265729F}">
  <sheetPr>
    <tabColor theme="4" tint="-0.249977111117893"/>
  </sheetPr>
  <dimension ref="D2:G19"/>
  <sheetViews>
    <sheetView zoomScale="80" zoomScaleNormal="80" workbookViewId="0">
      <selection activeCell="E7" sqref="E7:G7"/>
    </sheetView>
  </sheetViews>
  <sheetFormatPr defaultRowHeight="15" x14ac:dyDescent="0.25"/>
  <cols>
    <col min="5" max="5" width="11.4257812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39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x14ac:dyDescent="0.25">
      <c r="D8" t="s">
        <v>0</v>
      </c>
      <c r="E8" s="3">
        <v>180859.49379792099</v>
      </c>
      <c r="F8" s="3">
        <v>816654.54607351997</v>
      </c>
      <c r="G8" s="7">
        <f>4.5154*E8 - 0.0000005</f>
        <v>816652.95829463238</v>
      </c>
    </row>
    <row r="9" spans="4:7" x14ac:dyDescent="0.25">
      <c r="D9" t="s">
        <v>1</v>
      </c>
      <c r="E9" s="3">
        <v>181975.105598152</v>
      </c>
      <c r="F9" s="3">
        <v>821691.989390317</v>
      </c>
      <c r="G9" s="7">
        <f t="shared" ref="G9:G17" si="0">4.5154*E9 - 0.0000005</f>
        <v>821690.39181739546</v>
      </c>
    </row>
    <row r="10" spans="4:7" x14ac:dyDescent="0.25">
      <c r="D10" t="s">
        <v>2</v>
      </c>
      <c r="E10" s="3">
        <v>183090.71739838301</v>
      </c>
      <c r="F10" s="3">
        <v>826729.43270711496</v>
      </c>
      <c r="G10" s="7">
        <f t="shared" si="0"/>
        <v>826727.82534015854</v>
      </c>
    </row>
    <row r="11" spans="4:7" x14ac:dyDescent="0.25">
      <c r="D11" t="s">
        <v>3</v>
      </c>
      <c r="E11" s="3">
        <v>184206.329198614</v>
      </c>
      <c r="F11" s="3">
        <v>831766.87602391199</v>
      </c>
      <c r="G11" s="7">
        <f t="shared" si="0"/>
        <v>831765.25886292162</v>
      </c>
    </row>
    <row r="12" spans="4:7" x14ac:dyDescent="0.25">
      <c r="D12" t="s">
        <v>4</v>
      </c>
      <c r="E12" s="3">
        <v>185321.94099884501</v>
      </c>
      <c r="F12" s="3">
        <v>836804.31934071297</v>
      </c>
      <c r="G12" s="7">
        <f t="shared" si="0"/>
        <v>836802.6923856847</v>
      </c>
    </row>
    <row r="13" spans="4:7" x14ac:dyDescent="0.25">
      <c r="D13" t="s">
        <v>5</v>
      </c>
      <c r="E13" s="3">
        <v>186437.55279907599</v>
      </c>
      <c r="F13" s="3">
        <v>841841.76265751</v>
      </c>
      <c r="G13" s="7">
        <f t="shared" si="0"/>
        <v>841840.12590844766</v>
      </c>
    </row>
    <row r="14" spans="4:7" x14ac:dyDescent="0.25">
      <c r="D14" t="s">
        <v>6</v>
      </c>
      <c r="E14" s="3">
        <v>187553.164599307</v>
      </c>
      <c r="F14" s="3">
        <v>846879.20597430703</v>
      </c>
      <c r="G14" s="7">
        <f t="shared" si="0"/>
        <v>846877.55943121074</v>
      </c>
    </row>
    <row r="15" spans="4:7" x14ac:dyDescent="0.25">
      <c r="D15" t="s">
        <v>7</v>
      </c>
      <c r="E15" s="3">
        <v>188668.77639953801</v>
      </c>
      <c r="F15" s="3">
        <v>851916.64929110499</v>
      </c>
      <c r="G15" s="7">
        <f t="shared" si="0"/>
        <v>851914.99295397382</v>
      </c>
    </row>
    <row r="16" spans="4:7" x14ac:dyDescent="0.25">
      <c r="D16" t="s">
        <v>8</v>
      </c>
      <c r="E16" s="3">
        <v>189784.38819976899</v>
      </c>
      <c r="F16" s="3">
        <v>856954.09260791203</v>
      </c>
      <c r="G16" s="7">
        <f t="shared" si="0"/>
        <v>856952.42647673679</v>
      </c>
    </row>
    <row r="17" spans="4:7" x14ac:dyDescent="0.25">
      <c r="D17" t="s">
        <v>9</v>
      </c>
      <c r="E17" s="3">
        <v>190900</v>
      </c>
      <c r="F17" s="3">
        <v>861991.53592470603</v>
      </c>
      <c r="G17" s="7">
        <f t="shared" si="0"/>
        <v>861989.85999949998</v>
      </c>
    </row>
    <row r="18" spans="4:7" x14ac:dyDescent="0.25">
      <c r="D18" t="s">
        <v>10</v>
      </c>
      <c r="E18" s="3">
        <v>190900</v>
      </c>
      <c r="F18" s="3">
        <v>861991.53592470603</v>
      </c>
    </row>
    <row r="19" spans="4:7" x14ac:dyDescent="0.25">
      <c r="D19" t="s">
        <v>11</v>
      </c>
      <c r="E19">
        <v>180859.49379792099</v>
      </c>
      <c r="F19">
        <v>816654.54607351997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BEC1-B875-4709-BD53-0B79F16C28E9}">
  <sheetPr>
    <tabColor theme="4" tint="-0.249977111117893"/>
  </sheetPr>
  <dimension ref="D2:G19"/>
  <sheetViews>
    <sheetView zoomScale="80" zoomScaleNormal="80" workbookViewId="0">
      <selection activeCell="E7" sqref="E7:G7"/>
    </sheetView>
  </sheetViews>
  <sheetFormatPr defaultRowHeight="15" x14ac:dyDescent="0.25"/>
  <cols>
    <col min="4" max="4" width="9.42578125" customWidth="1"/>
    <col min="5" max="5" width="11.4257812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40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x14ac:dyDescent="0.25">
      <c r="D8" t="s">
        <v>0</v>
      </c>
      <c r="E8" s="3">
        <v>121401.00266196601</v>
      </c>
      <c r="F8" s="3">
        <v>852537.97772111802</v>
      </c>
      <c r="G8" s="3">
        <f>7.0225*E8</f>
        <v>852538.54119365627</v>
      </c>
    </row>
    <row r="9" spans="4:7" x14ac:dyDescent="0.25">
      <c r="D9" t="s">
        <v>1</v>
      </c>
      <c r="E9" s="3">
        <v>122512.002366192</v>
      </c>
      <c r="F9" s="3">
        <v>860339.96798743401</v>
      </c>
      <c r="G9" s="3">
        <f t="shared" ref="G9:G17" si="0">7.0225*E9</f>
        <v>860340.53661658335</v>
      </c>
    </row>
    <row r="10" spans="4:7" x14ac:dyDescent="0.25">
      <c r="D10" t="s">
        <v>2</v>
      </c>
      <c r="E10" s="3">
        <v>123623.00207041801</v>
      </c>
      <c r="F10" s="3">
        <v>868141.95825374895</v>
      </c>
      <c r="G10" s="3">
        <f t="shared" si="0"/>
        <v>868142.53203951044</v>
      </c>
    </row>
    <row r="11" spans="4:7" x14ac:dyDescent="0.25">
      <c r="D11" t="s">
        <v>3</v>
      </c>
      <c r="E11" s="3">
        <v>124734.001774644</v>
      </c>
      <c r="F11" s="3">
        <v>875943.94852006203</v>
      </c>
      <c r="G11" s="3">
        <f t="shared" si="0"/>
        <v>875944.52746243752</v>
      </c>
    </row>
    <row r="12" spans="4:7" x14ac:dyDescent="0.25">
      <c r="D12" t="s">
        <v>4</v>
      </c>
      <c r="E12" s="3">
        <v>125845.00147887001</v>
      </c>
      <c r="F12" s="3">
        <v>883745.93878637999</v>
      </c>
      <c r="G12" s="3">
        <f t="shared" si="0"/>
        <v>883746.5228853646</v>
      </c>
    </row>
    <row r="13" spans="4:7" x14ac:dyDescent="0.25">
      <c r="D13" t="s">
        <v>5</v>
      </c>
      <c r="E13" s="3">
        <v>126956.001183096</v>
      </c>
      <c r="F13" s="3">
        <v>891547.92905269598</v>
      </c>
      <c r="G13" s="3">
        <f t="shared" si="0"/>
        <v>891548.51830829168</v>
      </c>
    </row>
    <row r="14" spans="4:7" x14ac:dyDescent="0.25">
      <c r="D14" t="s">
        <v>6</v>
      </c>
      <c r="E14" s="3">
        <v>128067.00088732201</v>
      </c>
      <c r="F14" s="3">
        <v>899349.91931900801</v>
      </c>
      <c r="G14" s="3">
        <f t="shared" si="0"/>
        <v>899350.51373121876</v>
      </c>
    </row>
    <row r="15" spans="4:7" x14ac:dyDescent="0.25">
      <c r="D15" t="s">
        <v>7</v>
      </c>
      <c r="E15" s="3">
        <v>129178.000591548</v>
      </c>
      <c r="F15" s="3">
        <v>907151.909585324</v>
      </c>
      <c r="G15" s="3">
        <f t="shared" si="0"/>
        <v>907152.50915414584</v>
      </c>
    </row>
    <row r="16" spans="4:7" x14ac:dyDescent="0.25">
      <c r="D16" t="s">
        <v>8</v>
      </c>
      <c r="E16" s="3">
        <v>130289.00029577401</v>
      </c>
      <c r="F16" s="3">
        <v>914953.89985164301</v>
      </c>
      <c r="G16" s="3">
        <f t="shared" si="0"/>
        <v>914954.50457707292</v>
      </c>
    </row>
    <row r="17" spans="4:7" x14ac:dyDescent="0.25">
      <c r="D17" t="s">
        <v>9</v>
      </c>
      <c r="E17" s="3">
        <v>131400</v>
      </c>
      <c r="F17" s="3">
        <v>922755.89011795504</v>
      </c>
      <c r="G17" s="3">
        <f t="shared" si="0"/>
        <v>922756.5</v>
      </c>
    </row>
    <row r="18" spans="4:7" x14ac:dyDescent="0.25">
      <c r="D18" t="s">
        <v>10</v>
      </c>
      <c r="E18" s="3">
        <v>131400</v>
      </c>
      <c r="F18" s="3">
        <v>922755.89011795504</v>
      </c>
    </row>
    <row r="19" spans="4:7" x14ac:dyDescent="0.25">
      <c r="D19" t="s">
        <v>11</v>
      </c>
      <c r="E19">
        <v>121401.00266196601</v>
      </c>
      <c r="F19">
        <v>852537.97772111802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78C-2D78-493E-805A-B812CAD9E578}">
  <sheetPr>
    <tabColor theme="4" tint="-0.249977111117893"/>
  </sheetPr>
  <dimension ref="D2:G19"/>
  <sheetViews>
    <sheetView zoomScale="80" zoomScaleNormal="80" workbookViewId="0">
      <selection activeCell="E7" sqref="E7:G7"/>
    </sheetView>
  </sheetViews>
  <sheetFormatPr defaultRowHeight="15" x14ac:dyDescent="0.25"/>
  <cols>
    <col min="5" max="5" width="11.4257812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40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x14ac:dyDescent="0.25">
      <c r="D8" t="s">
        <v>0</v>
      </c>
      <c r="E8" s="3">
        <v>233435.858292688</v>
      </c>
      <c r="F8" s="3">
        <v>1054175.4249994501</v>
      </c>
      <c r="G8" s="2">
        <f>4.5159*E8 + 0.000001</f>
        <v>1054172.9924649498</v>
      </c>
    </row>
    <row r="9" spans="4:7" x14ac:dyDescent="0.25">
      <c r="D9" t="s">
        <v>1</v>
      </c>
      <c r="E9" s="3">
        <v>234542.98514905601</v>
      </c>
      <c r="F9" s="3">
        <v>1059175.1107070099</v>
      </c>
      <c r="G9" s="2">
        <f t="shared" ref="G9:G18" si="0">4.5159*E9 + 0.000001</f>
        <v>1059172.666635622</v>
      </c>
    </row>
    <row r="10" spans="4:7" x14ac:dyDescent="0.25">
      <c r="D10" t="s">
        <v>2</v>
      </c>
      <c r="E10" s="3">
        <v>235650.11200542399</v>
      </c>
      <c r="F10" s="3">
        <v>1064174.79641458</v>
      </c>
      <c r="G10" s="2">
        <f t="shared" si="0"/>
        <v>1064172.3408062942</v>
      </c>
    </row>
    <row r="11" spans="4:7" x14ac:dyDescent="0.25">
      <c r="D11" t="s">
        <v>3</v>
      </c>
      <c r="E11" s="3">
        <v>236757.23886179199</v>
      </c>
      <c r="F11" s="3">
        <v>1069174.48212216</v>
      </c>
      <c r="G11" s="2">
        <f t="shared" si="0"/>
        <v>1069172.0149769664</v>
      </c>
    </row>
    <row r="12" spans="4:7" x14ac:dyDescent="0.25">
      <c r="D12" t="s">
        <v>4</v>
      </c>
      <c r="E12" s="3">
        <v>237864.36571816</v>
      </c>
      <c r="F12" s="3">
        <v>1074174.1678297201</v>
      </c>
      <c r="G12" s="2">
        <f t="shared" si="0"/>
        <v>1074171.6891476389</v>
      </c>
    </row>
    <row r="13" spans="4:7" x14ac:dyDescent="0.25">
      <c r="D13" t="s">
        <v>5</v>
      </c>
      <c r="E13" s="3">
        <v>238971.49257452801</v>
      </c>
      <c r="F13" s="3">
        <v>1079173.8535372899</v>
      </c>
      <c r="G13" s="2">
        <f t="shared" si="0"/>
        <v>1079171.3633183111</v>
      </c>
    </row>
    <row r="14" spans="4:7" x14ac:dyDescent="0.25">
      <c r="D14" t="s">
        <v>6</v>
      </c>
      <c r="E14" s="3">
        <v>240078.61943089601</v>
      </c>
      <c r="F14" s="3">
        <v>1084173.5392448499</v>
      </c>
      <c r="G14" s="2">
        <f t="shared" si="0"/>
        <v>1084171.0374889835</v>
      </c>
    </row>
    <row r="15" spans="4:7" x14ac:dyDescent="0.25">
      <c r="D15" t="s">
        <v>7</v>
      </c>
      <c r="E15" s="3">
        <v>241185.74628726399</v>
      </c>
      <c r="F15" s="3">
        <v>1089173.22495243</v>
      </c>
      <c r="G15" s="2">
        <f t="shared" si="0"/>
        <v>1089170.7116596554</v>
      </c>
    </row>
    <row r="16" spans="4:7" x14ac:dyDescent="0.25">
      <c r="D16" t="s">
        <v>8</v>
      </c>
      <c r="E16" s="3">
        <v>242292.87314363199</v>
      </c>
      <c r="F16" s="3">
        <v>1094172.9106600001</v>
      </c>
      <c r="G16" s="2">
        <f t="shared" si="0"/>
        <v>1094170.3858303279</v>
      </c>
    </row>
    <row r="17" spans="4:7" x14ac:dyDescent="0.25">
      <c r="D17" t="s">
        <v>9</v>
      </c>
      <c r="E17" s="3">
        <v>243400</v>
      </c>
      <c r="F17" s="3">
        <v>1099172.5963675601</v>
      </c>
      <c r="G17" s="2">
        <f t="shared" si="0"/>
        <v>1099170.0600010001</v>
      </c>
    </row>
    <row r="18" spans="4:7" x14ac:dyDescent="0.25">
      <c r="D18" t="s">
        <v>10</v>
      </c>
      <c r="E18" s="3">
        <v>243400</v>
      </c>
      <c r="F18" s="3">
        <v>1099172.5963675601</v>
      </c>
      <c r="G18" s="2">
        <f t="shared" si="0"/>
        <v>1099170.0600010001</v>
      </c>
    </row>
    <row r="19" spans="4:7" x14ac:dyDescent="0.25">
      <c r="D19" t="s">
        <v>11</v>
      </c>
      <c r="E19">
        <v>233435.858292688</v>
      </c>
      <c r="F19">
        <v>1054175.4249994501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57DB-9FA6-474F-BEA4-C02433B30641}">
  <sheetPr>
    <tabColor theme="4" tint="-0.249977111117893"/>
  </sheetPr>
  <dimension ref="D2:G19"/>
  <sheetViews>
    <sheetView zoomScale="80" zoomScaleNormal="80" workbookViewId="0">
      <selection activeCell="E7" sqref="E7:G7"/>
    </sheetView>
  </sheetViews>
  <sheetFormatPr defaultRowHeight="15" x14ac:dyDescent="0.25"/>
  <cols>
    <col min="4" max="4" width="9.42578125" customWidth="1"/>
    <col min="5" max="5" width="11.4257812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41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x14ac:dyDescent="0.25">
      <c r="D8" t="s">
        <v>0</v>
      </c>
      <c r="E8" s="3">
        <v>160337.17648388899</v>
      </c>
      <c r="F8" s="3">
        <v>1122091.0609138501</v>
      </c>
      <c r="G8" s="2">
        <f>6.9983*E8</f>
        <v>1122087.6621872005</v>
      </c>
    </row>
    <row r="9" spans="4:7" x14ac:dyDescent="0.25">
      <c r="D9" t="s">
        <v>1</v>
      </c>
      <c r="E9" s="3">
        <v>161444.156874568</v>
      </c>
      <c r="F9" s="3">
        <v>1129838.06524701</v>
      </c>
      <c r="G9" s="2">
        <f t="shared" ref="G9:G17" si="0">6.9983*E9</f>
        <v>1129834.6430552893</v>
      </c>
    </row>
    <row r="10" spans="4:7" x14ac:dyDescent="0.25">
      <c r="D10" t="s">
        <v>2</v>
      </c>
      <c r="E10" s="3">
        <v>162551.137265247</v>
      </c>
      <c r="F10" s="3">
        <v>1137585.0695801701</v>
      </c>
      <c r="G10" s="2">
        <f t="shared" si="0"/>
        <v>1137581.6239233781</v>
      </c>
    </row>
    <row r="11" spans="4:7" x14ac:dyDescent="0.25">
      <c r="D11" t="s">
        <v>3</v>
      </c>
      <c r="E11" s="3">
        <v>163658.11765592601</v>
      </c>
      <c r="F11" s="3">
        <v>1145332.07391334</v>
      </c>
      <c r="G11" s="2">
        <f t="shared" si="0"/>
        <v>1145328.6047914671</v>
      </c>
    </row>
    <row r="12" spans="4:7" x14ac:dyDescent="0.25">
      <c r="D12" t="s">
        <v>4</v>
      </c>
      <c r="E12" s="3">
        <v>164765.09804660501</v>
      </c>
      <c r="F12" s="3">
        <v>1153079.0782465001</v>
      </c>
      <c r="G12" s="2">
        <f t="shared" si="0"/>
        <v>1153075.5856595559</v>
      </c>
    </row>
    <row r="13" spans="4:7" x14ac:dyDescent="0.25">
      <c r="D13" t="s">
        <v>5</v>
      </c>
      <c r="E13" s="3">
        <v>165872.07843728401</v>
      </c>
      <c r="F13" s="3">
        <v>1160826.08257966</v>
      </c>
      <c r="G13" s="2">
        <f t="shared" si="0"/>
        <v>1160822.5665276449</v>
      </c>
    </row>
    <row r="14" spans="4:7" x14ac:dyDescent="0.25">
      <c r="D14" t="s">
        <v>6</v>
      </c>
      <c r="E14" s="3">
        <v>166979.05882796299</v>
      </c>
      <c r="F14" s="3">
        <v>1168573.0869128299</v>
      </c>
      <c r="G14" s="2">
        <f t="shared" si="0"/>
        <v>1168569.5473957334</v>
      </c>
    </row>
    <row r="15" spans="4:7" x14ac:dyDescent="0.25">
      <c r="D15" t="s">
        <v>7</v>
      </c>
      <c r="E15" s="3">
        <v>168086.03921864199</v>
      </c>
      <c r="F15" s="3">
        <v>1176320.09124599</v>
      </c>
      <c r="G15" s="2">
        <f t="shared" si="0"/>
        <v>1176316.5282638224</v>
      </c>
    </row>
    <row r="16" spans="4:7" x14ac:dyDescent="0.25">
      <c r="D16" t="s">
        <v>8</v>
      </c>
      <c r="E16" s="3">
        <v>169193.019609321</v>
      </c>
      <c r="F16" s="3">
        <v>1184067.0955791499</v>
      </c>
      <c r="G16" s="2">
        <f t="shared" si="0"/>
        <v>1184063.5091319112</v>
      </c>
    </row>
    <row r="17" spans="4:7" x14ac:dyDescent="0.25">
      <c r="D17" t="s">
        <v>9</v>
      </c>
      <c r="E17" s="3">
        <v>170300</v>
      </c>
      <c r="F17" s="3">
        <v>1191814.09991232</v>
      </c>
      <c r="G17" s="2">
        <f t="shared" si="0"/>
        <v>1191810.49</v>
      </c>
    </row>
    <row r="18" spans="4:7" x14ac:dyDescent="0.25">
      <c r="D18" t="s">
        <v>10</v>
      </c>
      <c r="E18" s="3">
        <v>170300</v>
      </c>
      <c r="F18" s="3">
        <v>1191814.09991232</v>
      </c>
    </row>
    <row r="19" spans="4:7" x14ac:dyDescent="0.25">
      <c r="D19" t="s">
        <v>11</v>
      </c>
      <c r="E19">
        <v>160337.17648388899</v>
      </c>
      <c r="F19">
        <v>1122091.0609138501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1145-0702-444C-98A7-0E383179AD9A}">
  <sheetPr>
    <tabColor theme="4" tint="-0.249977111117893"/>
  </sheetPr>
  <dimension ref="D2:G19"/>
  <sheetViews>
    <sheetView zoomScale="70" zoomScaleNormal="70" workbookViewId="0">
      <selection activeCell="E7" sqref="E7:G7"/>
    </sheetView>
  </sheetViews>
  <sheetFormatPr defaultRowHeight="15" x14ac:dyDescent="0.25"/>
  <cols>
    <col min="5" max="5" width="14.85546875" bestFit="1" customWidth="1"/>
    <col min="6" max="6" width="13" bestFit="1" customWidth="1"/>
    <col min="7" max="7" width="27.5703125" bestFit="1" customWidth="1"/>
  </cols>
  <sheetData>
    <row r="2" spans="4:7" ht="21" x14ac:dyDescent="0.35">
      <c r="D2" s="4" t="s">
        <v>41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313511.50288551999</v>
      </c>
      <c r="F8" s="3">
        <v>1411329.5758390301</v>
      </c>
      <c r="G8" s="6">
        <f>4.5017*E8 - 0.000004</f>
        <v>1411334.7325357453</v>
      </c>
    </row>
    <row r="9" spans="4:7" ht="18.75" x14ac:dyDescent="0.3">
      <c r="D9" t="s">
        <v>1</v>
      </c>
      <c r="E9" s="3">
        <v>314621.33589823998</v>
      </c>
      <c r="F9" s="3">
        <v>1416325.6928576301</v>
      </c>
      <c r="G9" s="6">
        <f t="shared" ref="G9:G17" si="0">4.5017*E9 - 0.000004</f>
        <v>1416330.8678091068</v>
      </c>
    </row>
    <row r="10" spans="4:7" ht="18.75" x14ac:dyDescent="0.3">
      <c r="D10" t="s">
        <v>2</v>
      </c>
      <c r="E10" s="3">
        <v>315731.16891096003</v>
      </c>
      <c r="F10" s="3">
        <v>1421321.8098762401</v>
      </c>
      <c r="G10" s="6">
        <f t="shared" si="0"/>
        <v>1421327.0030824686</v>
      </c>
    </row>
    <row r="11" spans="4:7" ht="18.75" x14ac:dyDescent="0.3">
      <c r="D11" t="s">
        <v>3</v>
      </c>
      <c r="E11" s="3">
        <v>316841.00192368001</v>
      </c>
      <c r="F11" s="3">
        <v>1426317.9268948401</v>
      </c>
      <c r="G11" s="6">
        <f t="shared" si="0"/>
        <v>1426323.1383558302</v>
      </c>
    </row>
    <row r="12" spans="4:7" ht="18.75" x14ac:dyDescent="0.3">
      <c r="D12" t="s">
        <v>4</v>
      </c>
      <c r="E12" s="3">
        <v>317950.8349364</v>
      </c>
      <c r="F12" s="3">
        <v>1431314.0439134501</v>
      </c>
      <c r="G12" s="6">
        <f t="shared" si="0"/>
        <v>1431319.2736291918</v>
      </c>
    </row>
    <row r="13" spans="4:7" ht="18.75" x14ac:dyDescent="0.3">
      <c r="D13" t="s">
        <v>5</v>
      </c>
      <c r="E13" s="3">
        <v>319060.66794911999</v>
      </c>
      <c r="F13" s="3">
        <v>1436310.1609320401</v>
      </c>
      <c r="G13" s="6">
        <f t="shared" si="0"/>
        <v>1436315.4089025534</v>
      </c>
    </row>
    <row r="14" spans="4:7" ht="18.75" x14ac:dyDescent="0.3">
      <c r="D14" t="s">
        <v>6</v>
      </c>
      <c r="E14" s="3">
        <v>320170.50096183998</v>
      </c>
      <c r="F14" s="3">
        <v>1441306.2779506501</v>
      </c>
      <c r="G14" s="6">
        <f t="shared" si="0"/>
        <v>1441311.544175915</v>
      </c>
    </row>
    <row r="15" spans="4:7" ht="18.75" x14ac:dyDescent="0.3">
      <c r="D15" t="s">
        <v>7</v>
      </c>
      <c r="E15" s="3">
        <v>321280.33397456002</v>
      </c>
      <c r="F15" s="3">
        <v>1446302.3949692501</v>
      </c>
      <c r="G15" s="6">
        <f t="shared" si="0"/>
        <v>1446307.6794492768</v>
      </c>
    </row>
    <row r="16" spans="4:7" ht="18.75" x14ac:dyDescent="0.3">
      <c r="D16" t="s">
        <v>8</v>
      </c>
      <c r="E16" s="3">
        <v>322390.16698728001</v>
      </c>
      <c r="F16" s="3">
        <v>1451298.5119878601</v>
      </c>
      <c r="G16" s="6">
        <f t="shared" si="0"/>
        <v>1451303.8147226383</v>
      </c>
    </row>
    <row r="17" spans="4:7" ht="18.75" x14ac:dyDescent="0.3">
      <c r="D17" t="s">
        <v>9</v>
      </c>
      <c r="E17" s="3">
        <v>323500</v>
      </c>
      <c r="F17" s="3">
        <v>1456294.6290064601</v>
      </c>
      <c r="G17" s="6">
        <f t="shared" si="0"/>
        <v>1456299.9499959999</v>
      </c>
    </row>
    <row r="18" spans="4:7" ht="18.75" x14ac:dyDescent="0.3">
      <c r="D18" t="s">
        <v>10</v>
      </c>
      <c r="E18" s="3">
        <v>323500</v>
      </c>
      <c r="F18" s="3">
        <v>1456294.6290064601</v>
      </c>
      <c r="G18" s="6"/>
    </row>
    <row r="19" spans="4:7" ht="18.75" x14ac:dyDescent="0.3">
      <c r="D19" t="s">
        <v>11</v>
      </c>
      <c r="E19">
        <v>313511.50288551999</v>
      </c>
      <c r="F19">
        <v>1411329.5758390301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065-0810-49F1-A6F1-69CEE0611A8D}">
  <sheetPr>
    <tabColor rgb="FF7030A0"/>
  </sheetPr>
  <dimension ref="D2:G19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</cols>
  <sheetData>
    <row r="2" spans="4:7" ht="21" x14ac:dyDescent="0.35">
      <c r="D2" s="4" t="s">
        <v>42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3189977.4044378898</v>
      </c>
      <c r="F8" s="3">
        <v>19730034.764945801</v>
      </c>
      <c r="G8" s="6">
        <f>P31</f>
        <v>0</v>
      </c>
    </row>
    <row r="9" spans="4:7" ht="18.75" x14ac:dyDescent="0.3">
      <c r="D9" t="s">
        <v>1</v>
      </c>
      <c r="E9" s="3">
        <v>2878868.8039447898</v>
      </c>
      <c r="F9" s="3">
        <v>17805825.679683</v>
      </c>
      <c r="G9" s="6">
        <f t="shared" ref="G9:G17" si="0">6.185*E9- 0.00000003</f>
        <v>17805803.552398495</v>
      </c>
    </row>
    <row r="10" spans="4:7" ht="18.75" x14ac:dyDescent="0.3">
      <c r="D10" t="s">
        <v>2</v>
      </c>
      <c r="E10" s="3">
        <v>2567760.2034516898</v>
      </c>
      <c r="F10" s="3">
        <v>15881616.5944202</v>
      </c>
      <c r="G10" s="6">
        <f t="shared" si="0"/>
        <v>15881596.858348671</v>
      </c>
    </row>
    <row r="11" spans="4:7" ht="18.75" x14ac:dyDescent="0.3">
      <c r="D11" t="s">
        <v>3</v>
      </c>
      <c r="E11" s="3">
        <v>2256651.6029585898</v>
      </c>
      <c r="F11" s="3">
        <v>13957407.509157401</v>
      </c>
      <c r="G11" s="6">
        <f t="shared" si="0"/>
        <v>13957390.164298847</v>
      </c>
    </row>
    <row r="12" spans="4:7" ht="18.75" x14ac:dyDescent="0.3">
      <c r="D12" t="s">
        <v>4</v>
      </c>
      <c r="E12" s="3">
        <v>1945543.0024655</v>
      </c>
      <c r="F12" s="3">
        <v>12033198.423894599</v>
      </c>
      <c r="G12" s="6">
        <f t="shared" si="0"/>
        <v>12033183.470249087</v>
      </c>
    </row>
    <row r="13" spans="4:7" ht="18.75" x14ac:dyDescent="0.3">
      <c r="D13" t="s">
        <v>5</v>
      </c>
      <c r="E13" s="3">
        <v>1634434.4019724</v>
      </c>
      <c r="F13" s="3">
        <v>10108989.338631701</v>
      </c>
      <c r="G13" s="6">
        <f t="shared" si="0"/>
        <v>10108976.776199264</v>
      </c>
    </row>
    <row r="14" spans="4:7" ht="18.75" x14ac:dyDescent="0.3">
      <c r="D14" t="s">
        <v>6</v>
      </c>
      <c r="E14" s="3">
        <v>1323325.8014793</v>
      </c>
      <c r="F14" s="3">
        <v>8184780.2533689104</v>
      </c>
      <c r="G14" s="6">
        <f t="shared" si="0"/>
        <v>8184770.0821494404</v>
      </c>
    </row>
    <row r="15" spans="4:7" ht="18.75" x14ac:dyDescent="0.3">
      <c r="D15" t="s">
        <v>7</v>
      </c>
      <c r="E15" s="3">
        <v>1012217.2009862</v>
      </c>
      <c r="F15" s="3">
        <v>6260571.1681060903</v>
      </c>
      <c r="G15" s="6">
        <f t="shared" si="0"/>
        <v>6260563.3880996173</v>
      </c>
    </row>
    <row r="16" spans="4:7" ht="18.75" x14ac:dyDescent="0.3">
      <c r="D16" t="s">
        <v>8</v>
      </c>
      <c r="E16" s="3">
        <v>701108.60049309896</v>
      </c>
      <c r="F16" s="3">
        <v>4336362.0828432897</v>
      </c>
      <c r="G16" s="6">
        <f t="shared" si="0"/>
        <v>4336356.6940497868</v>
      </c>
    </row>
    <row r="17" spans="4:7" ht="18.75" x14ac:dyDescent="0.3">
      <c r="D17" t="s">
        <v>9</v>
      </c>
      <c r="E17" s="3">
        <v>390000</v>
      </c>
      <c r="F17" s="3">
        <v>2412152.9975804798</v>
      </c>
      <c r="G17" s="6">
        <f t="shared" si="0"/>
        <v>2412149.9999999702</v>
      </c>
    </row>
    <row r="18" spans="4:7" ht="18.75" x14ac:dyDescent="0.3">
      <c r="D18" t="s">
        <v>10</v>
      </c>
      <c r="E18" s="3">
        <v>3189977.4044378898</v>
      </c>
      <c r="F18" s="3">
        <v>19730034.764945801</v>
      </c>
      <c r="G18" s="6"/>
    </row>
    <row r="19" spans="4:7" ht="18.75" x14ac:dyDescent="0.3">
      <c r="D19" t="s">
        <v>11</v>
      </c>
      <c r="E19">
        <v>390000</v>
      </c>
      <c r="F19">
        <v>2412152.9975804798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58C5-A379-4970-930F-940D3F3AD009}">
  <sheetPr>
    <tabColor rgb="FF7030A0"/>
  </sheetPr>
  <dimension ref="D2:G19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</cols>
  <sheetData>
    <row r="2" spans="4:7" ht="21" x14ac:dyDescent="0.35">
      <c r="D2" s="4" t="s">
        <v>43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3194000</v>
      </c>
      <c r="F8" s="3">
        <v>19289774.048517101</v>
      </c>
      <c r="G8" s="6">
        <f>Z26</f>
        <v>0</v>
      </c>
    </row>
    <row r="9" spans="4:7" ht="18.75" x14ac:dyDescent="0.3">
      <c r="D9" t="s">
        <v>1</v>
      </c>
      <c r="E9" s="3">
        <v>3205111.1111111101</v>
      </c>
      <c r="F9" s="3">
        <v>19356878.251009598</v>
      </c>
      <c r="G9" s="6">
        <f t="shared" ref="G9:G17" si="0">6.0394*E9 + 0.00004</f>
        <v>19356948.044484437</v>
      </c>
    </row>
    <row r="10" spans="4:7" ht="18.75" x14ac:dyDescent="0.3">
      <c r="D10" t="s">
        <v>2</v>
      </c>
      <c r="E10" s="3">
        <v>3216222.2222222202</v>
      </c>
      <c r="F10" s="3">
        <v>19423982.453502201</v>
      </c>
      <c r="G10" s="6">
        <f t="shared" si="0"/>
        <v>19424052.488928873</v>
      </c>
    </row>
    <row r="11" spans="4:7" ht="18.75" x14ac:dyDescent="0.3">
      <c r="D11" t="s">
        <v>3</v>
      </c>
      <c r="E11" s="3">
        <v>3227333.3333333302</v>
      </c>
      <c r="F11" s="3">
        <v>19491086.655994799</v>
      </c>
      <c r="G11" s="6">
        <f t="shared" si="0"/>
        <v>19491156.933373313</v>
      </c>
    </row>
    <row r="12" spans="4:7" ht="18.75" x14ac:dyDescent="0.3">
      <c r="D12" t="s">
        <v>4</v>
      </c>
      <c r="E12" s="3">
        <v>3238444.4444444398</v>
      </c>
      <c r="F12" s="3">
        <v>19558190.858487401</v>
      </c>
      <c r="G12" s="6">
        <f t="shared" si="0"/>
        <v>19558261.377817746</v>
      </c>
    </row>
    <row r="13" spans="4:7" ht="18.75" x14ac:dyDescent="0.3">
      <c r="D13" t="s">
        <v>5</v>
      </c>
      <c r="E13" s="3">
        <v>3249555.5555555602</v>
      </c>
      <c r="F13" s="3">
        <v>19625295.060979899</v>
      </c>
      <c r="G13" s="6">
        <f t="shared" si="0"/>
        <v>19625365.822262246</v>
      </c>
    </row>
    <row r="14" spans="4:7" ht="18.75" x14ac:dyDescent="0.3">
      <c r="D14" t="s">
        <v>6</v>
      </c>
      <c r="E14" s="3">
        <v>3260666.6666666698</v>
      </c>
      <c r="F14" s="3">
        <v>19692399.263472501</v>
      </c>
      <c r="G14" s="6">
        <f t="shared" si="0"/>
        <v>19692470.266706683</v>
      </c>
    </row>
    <row r="15" spans="4:7" ht="18.75" x14ac:dyDescent="0.3">
      <c r="D15" t="s">
        <v>7</v>
      </c>
      <c r="E15" s="3">
        <v>3271777.7777777798</v>
      </c>
      <c r="F15" s="3">
        <v>19759503.4659651</v>
      </c>
      <c r="G15" s="6">
        <f t="shared" si="0"/>
        <v>19759574.711151119</v>
      </c>
    </row>
    <row r="16" spans="4:7" ht="18.75" x14ac:dyDescent="0.3">
      <c r="D16" t="s">
        <v>8</v>
      </c>
      <c r="E16" s="3">
        <v>3282888.8888888899</v>
      </c>
      <c r="F16" s="3">
        <v>19826607.668457702</v>
      </c>
      <c r="G16" s="6">
        <f t="shared" si="0"/>
        <v>19826679.15559556</v>
      </c>
    </row>
    <row r="17" spans="4:7" ht="18.75" x14ac:dyDescent="0.3">
      <c r="D17" t="s">
        <v>9</v>
      </c>
      <c r="E17" s="3">
        <v>3294000</v>
      </c>
      <c r="F17" s="3">
        <v>19893711.8709503</v>
      </c>
      <c r="G17" s="6">
        <f t="shared" si="0"/>
        <v>19893783.600039996</v>
      </c>
    </row>
    <row r="18" spans="4:7" ht="18.75" x14ac:dyDescent="0.3">
      <c r="D18" t="s">
        <v>10</v>
      </c>
      <c r="E18" s="3">
        <v>3294000</v>
      </c>
      <c r="F18" s="3">
        <v>19893711.8709503</v>
      </c>
      <c r="G18" s="6"/>
    </row>
    <row r="19" spans="4:7" ht="18.75" x14ac:dyDescent="0.3">
      <c r="D19" t="s">
        <v>11</v>
      </c>
      <c r="E19">
        <v>3194000</v>
      </c>
      <c r="F19">
        <v>19289774.048517101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FE4E-7EE9-46C2-BBA0-70DCC6DC120D}">
  <sheetPr>
    <tabColor rgb="FF7030A0"/>
  </sheetPr>
  <dimension ref="D2:G19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</cols>
  <sheetData>
    <row r="2" spans="4:7" ht="21" x14ac:dyDescent="0.35">
      <c r="D2" s="4" t="s">
        <v>44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3189782.4205264398</v>
      </c>
      <c r="F8" s="3">
        <v>19800967.219028201</v>
      </c>
      <c r="G8" s="6">
        <f>6.2076*E8</f>
        <v>19800893.353659928</v>
      </c>
    </row>
    <row r="9" spans="4:7" ht="18.75" x14ac:dyDescent="0.3">
      <c r="D9" t="s">
        <v>1</v>
      </c>
      <c r="E9" s="3">
        <v>3200917.7071346198</v>
      </c>
      <c r="F9" s="3">
        <v>19870090.882035401</v>
      </c>
      <c r="G9" s="6">
        <f t="shared" ref="G9:G17" si="0">6.2076*E9</f>
        <v>19870016.758808866</v>
      </c>
    </row>
    <row r="10" spans="4:7" ht="18.75" x14ac:dyDescent="0.3">
      <c r="D10" t="s">
        <v>2</v>
      </c>
      <c r="E10" s="3">
        <v>3212052.9937427901</v>
      </c>
      <c r="F10" s="3">
        <v>19939214.545042701</v>
      </c>
      <c r="G10" s="6">
        <f t="shared" si="0"/>
        <v>19939140.163957745</v>
      </c>
    </row>
    <row r="11" spans="4:7" ht="18.75" x14ac:dyDescent="0.3">
      <c r="D11" t="s">
        <v>3</v>
      </c>
      <c r="E11" s="3">
        <v>3223188.2803509599</v>
      </c>
      <c r="F11" s="3">
        <v>20008338.208049901</v>
      </c>
      <c r="G11" s="6">
        <f t="shared" si="0"/>
        <v>20008263.56910662</v>
      </c>
    </row>
    <row r="12" spans="4:7" ht="18.75" x14ac:dyDescent="0.3">
      <c r="D12" t="s">
        <v>4</v>
      </c>
      <c r="E12" s="3">
        <v>3234323.5669591399</v>
      </c>
      <c r="F12" s="3">
        <v>20077461.871057201</v>
      </c>
      <c r="G12" s="6">
        <f t="shared" si="0"/>
        <v>20077386.974255558</v>
      </c>
    </row>
    <row r="13" spans="4:7" ht="18.75" x14ac:dyDescent="0.3">
      <c r="D13" t="s">
        <v>5</v>
      </c>
      <c r="E13" s="3">
        <v>3245458.8535673101</v>
      </c>
      <c r="F13" s="3">
        <v>20146585.534064401</v>
      </c>
      <c r="G13" s="6">
        <f t="shared" si="0"/>
        <v>20146510.379404437</v>
      </c>
    </row>
    <row r="14" spans="4:7" ht="18.75" x14ac:dyDescent="0.3">
      <c r="D14" t="s">
        <v>6</v>
      </c>
      <c r="E14" s="3">
        <v>3256594.1401754799</v>
      </c>
      <c r="F14" s="3">
        <v>20215709.197071601</v>
      </c>
      <c r="G14" s="6">
        <f t="shared" si="0"/>
        <v>20215633.784553312</v>
      </c>
    </row>
    <row r="15" spans="4:7" ht="18.75" x14ac:dyDescent="0.3">
      <c r="D15" t="s">
        <v>7</v>
      </c>
      <c r="E15" s="3">
        <v>3267729.4267836502</v>
      </c>
      <c r="F15" s="3">
        <v>20284832.860078901</v>
      </c>
      <c r="G15" s="6">
        <f t="shared" si="0"/>
        <v>20284757.189702187</v>
      </c>
    </row>
    <row r="16" spans="4:7" ht="18.75" x14ac:dyDescent="0.3">
      <c r="D16" t="s">
        <v>8</v>
      </c>
      <c r="E16" s="3">
        <v>3278864.7133918302</v>
      </c>
      <c r="F16" s="3">
        <v>20353956.523086101</v>
      </c>
      <c r="G16" s="6">
        <f t="shared" si="0"/>
        <v>20353880.594851125</v>
      </c>
    </row>
    <row r="17" spans="4:7" ht="18.75" x14ac:dyDescent="0.3">
      <c r="D17" t="s">
        <v>9</v>
      </c>
      <c r="E17" s="3">
        <v>3290000</v>
      </c>
      <c r="F17" s="3">
        <v>20423080.186093401</v>
      </c>
      <c r="G17" s="6">
        <f t="shared" si="0"/>
        <v>20423004</v>
      </c>
    </row>
    <row r="18" spans="4:7" ht="18.75" x14ac:dyDescent="0.3">
      <c r="D18" t="s">
        <v>10</v>
      </c>
      <c r="E18" s="3">
        <v>3290000</v>
      </c>
      <c r="F18" s="3">
        <v>20423080.186093401</v>
      </c>
      <c r="G18" s="6"/>
    </row>
    <row r="19" spans="4:7" ht="18.75" x14ac:dyDescent="0.3">
      <c r="D19" t="s">
        <v>11</v>
      </c>
      <c r="E19">
        <v>3189782.4205264398</v>
      </c>
      <c r="F19">
        <v>19800967.219028201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9296-4F29-430A-96C5-DFF7077F978A}">
  <sheetPr>
    <tabColor theme="9" tint="-0.499984740745262"/>
  </sheetPr>
  <dimension ref="D2:G19"/>
  <sheetViews>
    <sheetView topLeftCell="C1"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</cols>
  <sheetData>
    <row r="2" spans="4:7" ht="21" x14ac:dyDescent="0.35">
      <c r="D2" s="4" t="s">
        <v>45</v>
      </c>
      <c r="E2" s="4"/>
      <c r="F2" s="4"/>
      <c r="G2" s="4"/>
    </row>
    <row r="6" spans="4:7" x14ac:dyDescent="0.25">
      <c r="E6" s="1"/>
      <c r="F6" s="1"/>
    </row>
    <row r="7" spans="4:7" x14ac:dyDescent="0.25">
      <c r="E7" s="1" t="s">
        <v>12</v>
      </c>
      <c r="F7" s="1" t="s">
        <v>13</v>
      </c>
      <c r="G7" t="s">
        <v>46</v>
      </c>
    </row>
    <row r="8" spans="4:7" ht="18.75" x14ac:dyDescent="0.3">
      <c r="D8" t="s">
        <v>0</v>
      </c>
      <c r="E8" s="3">
        <v>521756.60437301401</v>
      </c>
      <c r="F8" s="3">
        <v>1827863.5397057501</v>
      </c>
      <c r="G8" s="6">
        <f xml:space="preserve"> 3.5033*E8</f>
        <v>1827869.9120999798</v>
      </c>
    </row>
    <row r="9" spans="4:7" ht="18.75" x14ac:dyDescent="0.3">
      <c r="D9" t="s">
        <v>1</v>
      </c>
      <c r="E9" s="3">
        <v>522872.53722045699</v>
      </c>
      <c r="F9" s="3">
        <v>1831772.97362093</v>
      </c>
      <c r="G9" s="6">
        <f t="shared" ref="G9:G19" si="0" xml:space="preserve"> 3.5033*E9</f>
        <v>1831779.359644427</v>
      </c>
    </row>
    <row r="10" spans="4:7" ht="18.75" x14ac:dyDescent="0.3">
      <c r="D10" t="s">
        <v>2</v>
      </c>
      <c r="E10" s="3">
        <v>523988.47006790002</v>
      </c>
      <c r="F10" s="3">
        <v>1835682.4075360999</v>
      </c>
      <c r="G10" s="6">
        <f t="shared" si="0"/>
        <v>1835688.8071888741</v>
      </c>
    </row>
    <row r="11" spans="4:7" ht="18.75" x14ac:dyDescent="0.3">
      <c r="D11" t="s">
        <v>3</v>
      </c>
      <c r="E11" s="3">
        <v>525104.40291534294</v>
      </c>
      <c r="F11" s="3">
        <v>1839591.8414512801</v>
      </c>
      <c r="G11" s="6">
        <f t="shared" si="0"/>
        <v>1839598.2547333208</v>
      </c>
    </row>
    <row r="12" spans="4:7" ht="18.75" x14ac:dyDescent="0.3">
      <c r="D12" t="s">
        <v>4</v>
      </c>
      <c r="E12" s="3">
        <v>526220.33576278598</v>
      </c>
      <c r="F12" s="3">
        <v>1843501.2753664399</v>
      </c>
      <c r="G12" s="6">
        <f t="shared" si="0"/>
        <v>1843507.7022777679</v>
      </c>
    </row>
    <row r="13" spans="4:7" ht="18.75" x14ac:dyDescent="0.3">
      <c r="D13" t="s">
        <v>5</v>
      </c>
      <c r="E13" s="3">
        <v>527336.26861022902</v>
      </c>
      <c r="F13" s="3">
        <v>1847410.7092816201</v>
      </c>
      <c r="G13" s="6">
        <f t="shared" si="0"/>
        <v>1847417.1498222153</v>
      </c>
    </row>
    <row r="14" spans="4:7" ht="18.75" x14ac:dyDescent="0.3">
      <c r="D14" t="s">
        <v>6</v>
      </c>
      <c r="E14" s="3">
        <v>528452.20145767205</v>
      </c>
      <c r="F14" s="3">
        <v>1851320.14319679</v>
      </c>
      <c r="G14" s="6">
        <f t="shared" si="0"/>
        <v>1851326.5973666625</v>
      </c>
    </row>
    <row r="15" spans="4:7" ht="18.75" x14ac:dyDescent="0.3">
      <c r="D15" t="s">
        <v>7</v>
      </c>
      <c r="E15" s="3">
        <v>529568.13430511404</v>
      </c>
      <c r="F15" s="3">
        <v>1855229.5771119699</v>
      </c>
      <c r="G15" s="6">
        <f t="shared" si="0"/>
        <v>1855236.0449111059</v>
      </c>
    </row>
    <row r="16" spans="4:7" ht="18.75" x14ac:dyDescent="0.3">
      <c r="D16" t="s">
        <v>8</v>
      </c>
      <c r="E16" s="3">
        <v>530684.06715255696</v>
      </c>
      <c r="F16" s="3">
        <v>1859139.0110271301</v>
      </c>
      <c r="G16" s="6">
        <f t="shared" si="0"/>
        <v>1859145.4924555528</v>
      </c>
    </row>
    <row r="17" spans="4:7" ht="18.75" x14ac:dyDescent="0.3">
      <c r="D17" t="s">
        <v>9</v>
      </c>
      <c r="E17" s="3">
        <v>531800</v>
      </c>
      <c r="F17" s="3">
        <v>1863048.4449423</v>
      </c>
      <c r="G17" s="6">
        <f t="shared" si="0"/>
        <v>1863054.94</v>
      </c>
    </row>
    <row r="18" spans="4:7" ht="18.75" x14ac:dyDescent="0.3">
      <c r="D18" t="s">
        <v>10</v>
      </c>
      <c r="E18" s="3">
        <v>531800</v>
      </c>
      <c r="F18" s="3">
        <v>1863048.4449423</v>
      </c>
      <c r="G18" s="6"/>
    </row>
    <row r="19" spans="4:7" ht="18.75" x14ac:dyDescent="0.3">
      <c r="D19" t="s">
        <v>11</v>
      </c>
      <c r="E19">
        <v>521756.60437301401</v>
      </c>
      <c r="F19">
        <v>1827863.5397057501</v>
      </c>
      <c r="G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CCDE-9B96-44F1-B804-524AD9FCEE2D}">
  <sheetPr>
    <tabColor theme="9" tint="-0.499984740745262"/>
  </sheetPr>
  <dimension ref="D2:AB21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4" t="s">
        <v>45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673598.86398618796</v>
      </c>
      <c r="F8" s="3">
        <v>2497447.9047487299</v>
      </c>
      <c r="G8" s="6">
        <f>3.7076*E8 - 0.00002</f>
        <v>2497435.1480951901</v>
      </c>
      <c r="Z8" t="s">
        <v>60</v>
      </c>
      <c r="AB8" t="s">
        <v>61</v>
      </c>
    </row>
    <row r="9" spans="4:28" ht="18.75" x14ac:dyDescent="0.3">
      <c r="D9" t="s">
        <v>1</v>
      </c>
      <c r="E9" s="3">
        <v>674710.10132105602</v>
      </c>
      <c r="F9" s="3">
        <v>2501567.94933614</v>
      </c>
      <c r="G9" s="6">
        <f t="shared" ref="G9:G17" si="0">3.7076*E9 - 0.00002</f>
        <v>2501555.1716379472</v>
      </c>
      <c r="Z9" t="s">
        <v>51</v>
      </c>
    </row>
    <row r="10" spans="4:28" ht="18.75" x14ac:dyDescent="0.3">
      <c r="D10" t="s">
        <v>2</v>
      </c>
      <c r="E10" s="3">
        <v>675821.33865592396</v>
      </c>
      <c r="F10" s="3">
        <v>2505687.9939235402</v>
      </c>
      <c r="G10" s="6">
        <f t="shared" si="0"/>
        <v>2505675.1951807034</v>
      </c>
      <c r="Z10" t="s">
        <v>52</v>
      </c>
    </row>
    <row r="11" spans="4:28" ht="18.75" x14ac:dyDescent="0.3">
      <c r="D11" t="s">
        <v>3</v>
      </c>
      <c r="E11" s="3">
        <v>676932.57599079201</v>
      </c>
      <c r="F11" s="3">
        <v>2509808.0385109298</v>
      </c>
      <c r="G11" s="6">
        <f t="shared" si="0"/>
        <v>2509795.2187234601</v>
      </c>
      <c r="Z11" t="s">
        <v>53</v>
      </c>
    </row>
    <row r="12" spans="4:28" ht="18.75" x14ac:dyDescent="0.3">
      <c r="D12" t="s">
        <v>4</v>
      </c>
      <c r="E12" s="3">
        <v>678043.81332565995</v>
      </c>
      <c r="F12" s="3">
        <v>2513928.0830983398</v>
      </c>
      <c r="G12" s="6">
        <f t="shared" si="0"/>
        <v>2513915.2422662163</v>
      </c>
      <c r="Z12" t="s">
        <v>54</v>
      </c>
    </row>
    <row r="13" spans="4:28" ht="18.75" x14ac:dyDescent="0.3">
      <c r="D13" t="s">
        <v>5</v>
      </c>
      <c r="E13" s="3">
        <v>679155.05066052801</v>
      </c>
      <c r="F13" s="3">
        <v>2518048.1276857299</v>
      </c>
      <c r="G13" s="6">
        <f t="shared" si="0"/>
        <v>2518035.2658089735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680266.28799539595</v>
      </c>
      <c r="F14" s="3">
        <v>2522168.1722731302</v>
      </c>
      <c r="G14" s="6">
        <f t="shared" si="0"/>
        <v>2522155.2893517297</v>
      </c>
      <c r="Z14" t="s">
        <v>55</v>
      </c>
    </row>
    <row r="15" spans="4:28" ht="18.75" x14ac:dyDescent="0.3">
      <c r="D15" t="s">
        <v>7</v>
      </c>
      <c r="E15" s="3">
        <v>681377.525330264</v>
      </c>
      <c r="F15" s="3">
        <v>2526288.2168605402</v>
      </c>
      <c r="G15" s="6">
        <f t="shared" si="0"/>
        <v>2526275.3128944864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682488.76266513194</v>
      </c>
      <c r="F16" s="3">
        <v>2530408.2614479298</v>
      </c>
      <c r="G16" s="6">
        <f t="shared" si="0"/>
        <v>2530395.336437243</v>
      </c>
      <c r="AB16" t="s">
        <v>63</v>
      </c>
    </row>
    <row r="17" spans="4:28" ht="18.75" x14ac:dyDescent="0.3">
      <c r="D17" t="s">
        <v>9</v>
      </c>
      <c r="E17" s="3">
        <v>683600</v>
      </c>
      <c r="F17" s="3">
        <v>2534528.3060353198</v>
      </c>
      <c r="G17" s="6">
        <f t="shared" si="0"/>
        <v>2534515.3599799997</v>
      </c>
    </row>
    <row r="18" spans="4:28" ht="18.75" x14ac:dyDescent="0.3">
      <c r="D18" t="s">
        <v>10</v>
      </c>
      <c r="E18" s="3">
        <v>683600</v>
      </c>
      <c r="F18" s="3">
        <v>2534528.3060353198</v>
      </c>
      <c r="G18" s="6"/>
    </row>
    <row r="19" spans="4:28" ht="18.75" x14ac:dyDescent="0.3">
      <c r="D19" t="s">
        <v>11</v>
      </c>
      <c r="E19">
        <v>673598.86398618796</v>
      </c>
      <c r="F19">
        <v>2497447.9047487299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4B1B-A367-4059-9640-AF88039D43B6}">
  <sheetPr>
    <tabColor theme="1"/>
  </sheetPr>
  <dimension ref="D2:AB21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4" t="s">
        <v>64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15791933.103554299</v>
      </c>
      <c r="F8" s="3">
        <v>67868613.844479099</v>
      </c>
      <c r="G8" s="6">
        <f>O37</f>
        <v>0</v>
      </c>
      <c r="Z8" t="s">
        <v>60</v>
      </c>
      <c r="AB8" t="s">
        <v>61</v>
      </c>
    </row>
    <row r="9" spans="4:28" ht="18.75" x14ac:dyDescent="0.3">
      <c r="D9" t="s">
        <v>1</v>
      </c>
      <c r="E9" s="3">
        <v>15902829.425381601</v>
      </c>
      <c r="F9" s="3">
        <v>68345210.318990707</v>
      </c>
      <c r="G9" s="6">
        <f t="shared" ref="G9:G17" si="0">4.2977*E9</f>
        <v>68345590.0214625</v>
      </c>
      <c r="Z9" t="s">
        <v>51</v>
      </c>
    </row>
    <row r="10" spans="4:28" ht="18.75" x14ac:dyDescent="0.3">
      <c r="D10" t="s">
        <v>2</v>
      </c>
      <c r="E10" s="3">
        <v>16013725.747208901</v>
      </c>
      <c r="F10" s="3">
        <v>68821806.793501794</v>
      </c>
      <c r="G10" s="6">
        <f t="shared" si="0"/>
        <v>68822189.143779695</v>
      </c>
      <c r="Z10" t="s">
        <v>52</v>
      </c>
    </row>
    <row r="11" spans="4:28" ht="18.75" x14ac:dyDescent="0.3">
      <c r="D11" t="s">
        <v>3</v>
      </c>
      <c r="E11" s="3">
        <v>16124622.069036201</v>
      </c>
      <c r="F11" s="3">
        <v>69298403.268012494</v>
      </c>
      <c r="G11" s="6">
        <f t="shared" si="0"/>
        <v>69298788.266096875</v>
      </c>
      <c r="Z11" t="s">
        <v>53</v>
      </c>
    </row>
    <row r="12" spans="4:28" ht="18.75" x14ac:dyDescent="0.3">
      <c r="D12" t="s">
        <v>4</v>
      </c>
      <c r="E12" s="3">
        <v>16235518.390863501</v>
      </c>
      <c r="F12" s="3">
        <v>69774999.742523998</v>
      </c>
      <c r="G12" s="6">
        <f t="shared" si="0"/>
        <v>69775387.38841407</v>
      </c>
      <c r="Z12" t="s">
        <v>54</v>
      </c>
    </row>
    <row r="13" spans="4:28" ht="18.75" x14ac:dyDescent="0.3">
      <c r="D13" t="s">
        <v>5</v>
      </c>
      <c r="E13" s="3">
        <v>16346414.7126908</v>
      </c>
      <c r="F13" s="3">
        <v>70251596.217034802</v>
      </c>
      <c r="G13" s="6">
        <f t="shared" si="0"/>
        <v>70251986.51073125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16457311.0345181</v>
      </c>
      <c r="F14" s="3">
        <v>70728192.691546306</v>
      </c>
      <c r="G14" s="6">
        <f t="shared" si="0"/>
        <v>70728585.63304843</v>
      </c>
      <c r="Z14" t="s">
        <v>55</v>
      </c>
    </row>
    <row r="15" spans="4:28" ht="18.75" x14ac:dyDescent="0.3">
      <c r="D15" t="s">
        <v>7</v>
      </c>
      <c r="E15" s="3">
        <v>16568207.3563454</v>
      </c>
      <c r="F15" s="3">
        <v>71204789.166057393</v>
      </c>
      <c r="G15" s="6">
        <f t="shared" si="0"/>
        <v>71205184.755365625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16679103.6781727</v>
      </c>
      <c r="F16" s="3">
        <v>71681385.640568197</v>
      </c>
      <c r="G16" s="6">
        <f t="shared" si="0"/>
        <v>71681783.877682805</v>
      </c>
      <c r="AB16" t="s">
        <v>63</v>
      </c>
    </row>
    <row r="17" spans="4:28" ht="18.75" x14ac:dyDescent="0.3">
      <c r="D17" t="s">
        <v>9</v>
      </c>
      <c r="E17" s="3">
        <v>16790000</v>
      </c>
      <c r="F17" s="3">
        <v>72157982.115079701</v>
      </c>
      <c r="G17" s="6">
        <f t="shared" si="0"/>
        <v>72158383</v>
      </c>
    </row>
    <row r="18" spans="4:28" ht="18.75" x14ac:dyDescent="0.3">
      <c r="D18" t="s">
        <v>10</v>
      </c>
      <c r="E18" s="3">
        <v>16790000</v>
      </c>
      <c r="F18" s="3">
        <v>72157982.115079701</v>
      </c>
      <c r="G18" s="6"/>
    </row>
    <row r="19" spans="4:28" ht="18.75" x14ac:dyDescent="0.3">
      <c r="D19" t="s">
        <v>11</v>
      </c>
      <c r="E19">
        <v>15791933.103554299</v>
      </c>
      <c r="F19">
        <v>67868613.844479099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1DA5-F7BD-4108-ADB9-C07822CE6CB0}">
  <sheetPr>
    <tabColor theme="8" tint="-0.249977111117893"/>
  </sheetPr>
  <dimension ref="D2:AB21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4" t="s">
        <v>66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3932651.3781962199</v>
      </c>
      <c r="F8" s="3">
        <v>22173818.233029898</v>
      </c>
      <c r="G8" s="6">
        <f>5.6419*E8 - 13207</f>
        <v>22174418.810645252</v>
      </c>
      <c r="Z8" t="s">
        <v>60</v>
      </c>
      <c r="AB8" t="s">
        <v>61</v>
      </c>
    </row>
    <row r="9" spans="4:28" ht="18.75" x14ac:dyDescent="0.3">
      <c r="D9" t="s">
        <v>1</v>
      </c>
      <c r="E9" s="3">
        <v>3943801.22506331</v>
      </c>
      <c r="F9" s="3">
        <v>22237447.354230098</v>
      </c>
      <c r="G9" s="6">
        <f t="shared" ref="G9:G17" si="0">5.6419*E9 - 13207</f>
        <v>22237325.131684687</v>
      </c>
      <c r="Z9" t="s">
        <v>51</v>
      </c>
    </row>
    <row r="10" spans="4:28" ht="18.75" x14ac:dyDescent="0.3">
      <c r="D10" t="s">
        <v>2</v>
      </c>
      <c r="E10" s="3">
        <v>3954951.0719304001</v>
      </c>
      <c r="F10" s="3">
        <v>22300271.288208801</v>
      </c>
      <c r="G10" s="6">
        <f t="shared" si="0"/>
        <v>22300231.452724122</v>
      </c>
      <c r="Z10" t="s">
        <v>52</v>
      </c>
    </row>
    <row r="11" spans="4:28" ht="18.75" x14ac:dyDescent="0.3">
      <c r="D11" t="s">
        <v>3</v>
      </c>
      <c r="E11" s="3">
        <v>3966100.9187974799</v>
      </c>
      <c r="F11" s="3">
        <v>22363143.324149899</v>
      </c>
      <c r="G11" s="6">
        <f t="shared" si="0"/>
        <v>22363137.7737635</v>
      </c>
      <c r="Z11" t="s">
        <v>53</v>
      </c>
    </row>
    <row r="12" spans="4:28" ht="18.75" x14ac:dyDescent="0.3">
      <c r="D12" t="s">
        <v>4</v>
      </c>
      <c r="E12" s="3">
        <v>3977250.76566457</v>
      </c>
      <c r="F12" s="3">
        <v>22426012.0404553</v>
      </c>
      <c r="G12" s="6">
        <f t="shared" si="0"/>
        <v>22426044.094802935</v>
      </c>
      <c r="Z12" t="s">
        <v>54</v>
      </c>
    </row>
    <row r="13" spans="4:28" ht="18.75" x14ac:dyDescent="0.3">
      <c r="D13" t="s">
        <v>5</v>
      </c>
      <c r="E13" s="3">
        <v>3988400.6125316601</v>
      </c>
      <c r="F13" s="3">
        <v>22488880.3492653</v>
      </c>
      <c r="G13" s="6">
        <f t="shared" si="0"/>
        <v>22488950.415842373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3999550.45939874</v>
      </c>
      <c r="F14" s="3">
        <v>22551748.554428499</v>
      </c>
      <c r="G14" s="6">
        <f t="shared" si="0"/>
        <v>22551856.736881752</v>
      </c>
      <c r="Z14" t="s">
        <v>55</v>
      </c>
    </row>
    <row r="15" spans="4:28" ht="18.75" x14ac:dyDescent="0.3">
      <c r="D15" t="s">
        <v>7</v>
      </c>
      <c r="E15" s="3">
        <v>4010700.3062658301</v>
      </c>
      <c r="F15" s="3">
        <v>22614616.734113399</v>
      </c>
      <c r="G15" s="6">
        <f t="shared" si="0"/>
        <v>22614763.057921186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4021850.1531329099</v>
      </c>
      <c r="F16" s="3">
        <v>22677484.908030301</v>
      </c>
      <c r="G16" s="6">
        <f t="shared" si="0"/>
        <v>22677669.378960565</v>
      </c>
      <c r="AB16" t="s">
        <v>63</v>
      </c>
    </row>
    <row r="17" spans="4:28" ht="18.75" x14ac:dyDescent="0.3">
      <c r="D17" t="s">
        <v>9</v>
      </c>
      <c r="E17" s="3">
        <v>4033000</v>
      </c>
      <c r="F17" s="3">
        <v>22740353.080511499</v>
      </c>
      <c r="G17" s="6">
        <f t="shared" si="0"/>
        <v>22740575.699999999</v>
      </c>
    </row>
    <row r="18" spans="4:28" ht="18.75" x14ac:dyDescent="0.3">
      <c r="D18" t="s">
        <v>10</v>
      </c>
      <c r="E18" s="3">
        <v>4033000</v>
      </c>
      <c r="F18" s="3">
        <v>22740353.080511499</v>
      </c>
      <c r="G18" s="6"/>
    </row>
    <row r="19" spans="4:28" ht="18.75" x14ac:dyDescent="0.3">
      <c r="D19" t="s">
        <v>11</v>
      </c>
      <c r="E19">
        <v>3932651.3781962199</v>
      </c>
      <c r="F19">
        <v>22173818.233029898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83B1-B69C-4D84-A4B7-782A264B0D93}">
  <sheetPr>
    <tabColor theme="8" tint="-0.249977111117893"/>
  </sheetPr>
  <dimension ref="D2:AB21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8" t="s">
        <v>65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3933831.1916010198</v>
      </c>
      <c r="F8" s="3">
        <v>22246781.808266301</v>
      </c>
      <c r="G8" s="6">
        <f>5.6572*E8 - 7563.6</f>
        <v>22246906.217125285</v>
      </c>
      <c r="Z8" t="s">
        <v>60</v>
      </c>
      <c r="AB8" t="s">
        <v>61</v>
      </c>
    </row>
    <row r="9" spans="4:28" ht="18.75" x14ac:dyDescent="0.3">
      <c r="D9" t="s">
        <v>1</v>
      </c>
      <c r="E9" s="3">
        <v>3944961.0592009099</v>
      </c>
      <c r="F9" s="3">
        <v>22310059.735579301</v>
      </c>
      <c r="G9" s="6">
        <f t="shared" ref="G9:G17" si="0">5.6572*E9 - 7563.6</f>
        <v>22309870.104111385</v>
      </c>
      <c r="Z9" t="s">
        <v>51</v>
      </c>
    </row>
    <row r="10" spans="4:28" ht="18.75" x14ac:dyDescent="0.3">
      <c r="D10" t="s">
        <v>2</v>
      </c>
      <c r="E10" s="3">
        <v>3956090.9268008</v>
      </c>
      <c r="F10" s="3">
        <v>22373024.910092302</v>
      </c>
      <c r="G10" s="6">
        <f t="shared" si="0"/>
        <v>22372833.991097484</v>
      </c>
      <c r="Z10" t="s">
        <v>52</v>
      </c>
    </row>
    <row r="11" spans="4:28" ht="18.75" x14ac:dyDescent="0.3">
      <c r="D11" t="s">
        <v>3</v>
      </c>
      <c r="E11" s="3">
        <v>3967220.7944006799</v>
      </c>
      <c r="F11" s="3">
        <v>22435972.951549102</v>
      </c>
      <c r="G11" s="6">
        <f t="shared" si="0"/>
        <v>22435797.878083523</v>
      </c>
      <c r="Z11" t="s">
        <v>53</v>
      </c>
    </row>
    <row r="12" spans="4:28" ht="18.75" x14ac:dyDescent="0.3">
      <c r="D12" t="s">
        <v>4</v>
      </c>
      <c r="E12" s="3">
        <v>3978350.66200057</v>
      </c>
      <c r="F12" s="3">
        <v>22498916.958094299</v>
      </c>
      <c r="G12" s="6">
        <f t="shared" si="0"/>
        <v>22498761.765069623</v>
      </c>
      <c r="Z12" t="s">
        <v>54</v>
      </c>
    </row>
    <row r="13" spans="4:28" ht="18.75" x14ac:dyDescent="0.3">
      <c r="D13" t="s">
        <v>5</v>
      </c>
      <c r="E13" s="3">
        <v>3989480.5296004498</v>
      </c>
      <c r="F13" s="3">
        <v>22561860.081935801</v>
      </c>
      <c r="G13" s="6">
        <f t="shared" si="0"/>
        <v>22561725.652055662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4000610.3972003399</v>
      </c>
      <c r="F14" s="3">
        <v>22624803.007236801</v>
      </c>
      <c r="G14" s="6">
        <f t="shared" si="0"/>
        <v>22624689.539041761</v>
      </c>
      <c r="Z14" t="s">
        <v>55</v>
      </c>
    </row>
    <row r="15" spans="4:28" ht="18.75" x14ac:dyDescent="0.3">
      <c r="D15" t="s">
        <v>7</v>
      </c>
      <c r="E15" s="3">
        <v>4011740.26480023</v>
      </c>
      <c r="F15" s="3">
        <v>22687745.8877864</v>
      </c>
      <c r="G15" s="6">
        <f t="shared" si="0"/>
        <v>22687653.426027857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4022870.1324001099</v>
      </c>
      <c r="F16" s="3">
        <v>22750688.7582523</v>
      </c>
      <c r="G16" s="6">
        <f t="shared" si="0"/>
        <v>22750617.3130139</v>
      </c>
      <c r="AB16" t="s">
        <v>63</v>
      </c>
    </row>
    <row r="17" spans="4:28" ht="18.75" x14ac:dyDescent="0.3">
      <c r="D17" t="s">
        <v>9</v>
      </c>
      <c r="E17" s="3">
        <v>4034000</v>
      </c>
      <c r="F17" s="3">
        <v>22813631.626435801</v>
      </c>
      <c r="G17" s="6">
        <f t="shared" si="0"/>
        <v>22813581.199999996</v>
      </c>
    </row>
    <row r="18" spans="4:28" ht="18.75" x14ac:dyDescent="0.3">
      <c r="D18" t="s">
        <v>10</v>
      </c>
      <c r="E18" s="3">
        <v>4034000</v>
      </c>
      <c r="F18" s="3">
        <v>22813631.626435801</v>
      </c>
      <c r="G18" s="6"/>
    </row>
    <row r="19" spans="4:28" ht="18.75" x14ac:dyDescent="0.3">
      <c r="D19" t="s">
        <v>11</v>
      </c>
      <c r="E19">
        <v>3933831.1916010198</v>
      </c>
      <c r="F19">
        <v>22246781.808266301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39DC-C79C-45E0-9A13-8F7B3B85953A}">
  <sheetPr>
    <tabColor theme="8" tint="-0.249977111117893"/>
  </sheetPr>
  <dimension ref="D2:AB21"/>
  <sheetViews>
    <sheetView zoomScale="70" zoomScaleNormal="70" workbookViewId="0">
      <selection activeCell="E7" sqref="E7:G7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8" t="s">
        <v>67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3932651.3781962199</v>
      </c>
      <c r="F8" s="3">
        <v>22154420.211474098</v>
      </c>
      <c r="G8" s="6">
        <f>5.6607*E8 - 104457</f>
        <v>22157102.656555343</v>
      </c>
      <c r="Z8" t="s">
        <v>60</v>
      </c>
      <c r="AB8" t="s">
        <v>61</v>
      </c>
    </row>
    <row r="9" spans="4:28" ht="18.75" x14ac:dyDescent="0.3">
      <c r="D9" t="s">
        <v>1</v>
      </c>
      <c r="E9" s="3">
        <v>3943801.22506331</v>
      </c>
      <c r="F9" s="3">
        <v>22220823.8259564</v>
      </c>
      <c r="G9" s="6">
        <f t="shared" ref="G9:G17" si="0">5.6607*E9 - 104457</f>
        <v>22220218.594715878</v>
      </c>
      <c r="Z9" t="s">
        <v>51</v>
      </c>
    </row>
    <row r="10" spans="4:28" ht="18.75" x14ac:dyDescent="0.3">
      <c r="D10" t="s">
        <v>2</v>
      </c>
      <c r="E10" s="3">
        <v>3954951.0719304001</v>
      </c>
      <c r="F10" s="3">
        <v>22284150.212597098</v>
      </c>
      <c r="G10" s="6">
        <f t="shared" si="0"/>
        <v>22283334.532876417</v>
      </c>
      <c r="Z10" t="s">
        <v>52</v>
      </c>
    </row>
    <row r="11" spans="4:28" ht="18.75" x14ac:dyDescent="0.3">
      <c r="D11" t="s">
        <v>3</v>
      </c>
      <c r="E11" s="3">
        <v>3966100.9187974799</v>
      </c>
      <c r="F11" s="3">
        <v>22347103.1440777</v>
      </c>
      <c r="G11" s="6">
        <f t="shared" si="0"/>
        <v>22346450.471036896</v>
      </c>
      <c r="Z11" t="s">
        <v>53</v>
      </c>
    </row>
    <row r="12" spans="4:28" ht="18.75" x14ac:dyDescent="0.3">
      <c r="D12" t="s">
        <v>4</v>
      </c>
      <c r="E12" s="3">
        <v>3977250.76566457</v>
      </c>
      <c r="F12" s="3">
        <v>22409984.317788199</v>
      </c>
      <c r="G12" s="6">
        <f t="shared" si="0"/>
        <v>22409566.409197431</v>
      </c>
      <c r="Z12" t="s">
        <v>54</v>
      </c>
    </row>
    <row r="13" spans="4:28" ht="18.75" x14ac:dyDescent="0.3">
      <c r="D13" t="s">
        <v>5</v>
      </c>
      <c r="E13" s="3">
        <v>3988400.6125316601</v>
      </c>
      <c r="F13" s="3">
        <v>22472849.629749499</v>
      </c>
      <c r="G13" s="6">
        <f t="shared" si="0"/>
        <v>22472682.34735797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3999550.45939874</v>
      </c>
      <c r="F14" s="3">
        <v>22535712.0188228</v>
      </c>
      <c r="G14" s="6">
        <f t="shared" si="0"/>
        <v>22535798.285518449</v>
      </c>
      <c r="Z14" t="s">
        <v>55</v>
      </c>
    </row>
    <row r="15" spans="4:28" ht="18.75" x14ac:dyDescent="0.3">
      <c r="D15" t="s">
        <v>7</v>
      </c>
      <c r="E15" s="3">
        <v>4010700.3062658301</v>
      </c>
      <c r="F15" s="3">
        <v>22598574.487462699</v>
      </c>
      <c r="G15" s="6">
        <f t="shared" si="0"/>
        <v>22598914.223678984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4021850.1531329099</v>
      </c>
      <c r="F16" s="3">
        <v>22661437.643178798</v>
      </c>
      <c r="G16" s="6">
        <f t="shared" si="0"/>
        <v>22662030.161839463</v>
      </c>
      <c r="AB16" t="s">
        <v>63</v>
      </c>
    </row>
    <row r="17" spans="4:28" ht="18.75" x14ac:dyDescent="0.3">
      <c r="D17" t="s">
        <v>9</v>
      </c>
      <c r="E17" s="3">
        <v>4033000</v>
      </c>
      <c r="F17" s="3">
        <v>22724301.599286102</v>
      </c>
      <c r="G17" s="6">
        <f t="shared" si="0"/>
        <v>22725146.100000001</v>
      </c>
    </row>
    <row r="18" spans="4:28" ht="18.75" x14ac:dyDescent="0.3">
      <c r="D18" t="s">
        <v>10</v>
      </c>
      <c r="E18" s="3">
        <v>4033000</v>
      </c>
      <c r="F18" s="3">
        <v>22724301.599286102</v>
      </c>
      <c r="G18" s="6"/>
    </row>
    <row r="19" spans="4:28" ht="18.75" x14ac:dyDescent="0.3">
      <c r="D19" t="s">
        <v>11</v>
      </c>
      <c r="E19">
        <v>3932651.3781962199</v>
      </c>
      <c r="F19">
        <v>22154420.211474098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5591-1A21-486B-BE1E-5FB587481A33}">
  <sheetPr>
    <tabColor theme="8" tint="-0.249977111117893"/>
  </sheetPr>
  <dimension ref="D2:AB21"/>
  <sheetViews>
    <sheetView zoomScale="70" zoomScaleNormal="70" workbookViewId="0">
      <selection activeCell="X20" sqref="X20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6" max="26" width="42.140625" customWidth="1"/>
    <col min="28" max="28" width="19.7109375" bestFit="1" customWidth="1"/>
  </cols>
  <sheetData>
    <row r="2" spans="4:28" ht="21" x14ac:dyDescent="0.35">
      <c r="D2" s="8" t="s">
        <v>68</v>
      </c>
      <c r="E2" s="4"/>
      <c r="F2" s="4"/>
      <c r="G2" s="4"/>
    </row>
    <row r="6" spans="4:28" x14ac:dyDescent="0.25">
      <c r="E6" s="1"/>
      <c r="F6" s="1"/>
    </row>
    <row r="7" spans="4:28" x14ac:dyDescent="0.25">
      <c r="E7" s="1" t="s">
        <v>12</v>
      </c>
      <c r="F7" s="1" t="s">
        <v>13</v>
      </c>
      <c r="G7" t="s">
        <v>46</v>
      </c>
    </row>
    <row r="8" spans="4:28" ht="18.75" x14ac:dyDescent="0.3">
      <c r="D8" t="s">
        <v>0</v>
      </c>
      <c r="E8" s="3">
        <v>3932651.3781962199</v>
      </c>
      <c r="F8" s="3">
        <v>9122135.59672991</v>
      </c>
      <c r="G8" s="6" t="e" cm="1">
        <f t="array" ref="G8:I8">'MAIN{K-101}'!E6:G6+'MAIN{C-33001A B}'!E6Qreb_T21102</f>
        <v>#VALUE!</v>
      </c>
      <c r="H8" t="e">
        <v>#VALUE!</v>
      </c>
      <c r="I8" t="e">
        <v>#VALUE!</v>
      </c>
      <c r="Z8" t="s">
        <v>60</v>
      </c>
      <c r="AB8" t="s">
        <v>61</v>
      </c>
    </row>
    <row r="9" spans="4:28" ht="18.75" x14ac:dyDescent="0.3">
      <c r="D9" t="s">
        <v>1</v>
      </c>
      <c r="E9" s="3">
        <v>3943801.22506331</v>
      </c>
      <c r="F9" s="3">
        <v>9147532.6629674807</v>
      </c>
      <c r="G9" s="6">
        <f t="shared" ref="G9:G17" si="0">2.3168*E9 + 10687</f>
        <v>9147685.6782266777</v>
      </c>
      <c r="Z9" t="s">
        <v>51</v>
      </c>
    </row>
    <row r="10" spans="4:28" ht="18.75" x14ac:dyDescent="0.3">
      <c r="D10" t="s">
        <v>2</v>
      </c>
      <c r="E10" s="3">
        <v>3954951.0719304001</v>
      </c>
      <c r="F10" s="3">
        <v>9173348.5481458101</v>
      </c>
      <c r="G10" s="6">
        <f t="shared" si="0"/>
        <v>9173517.643448351</v>
      </c>
      <c r="Z10" t="s">
        <v>52</v>
      </c>
    </row>
    <row r="11" spans="4:28" ht="18.75" x14ac:dyDescent="0.3">
      <c r="D11" t="s">
        <v>3</v>
      </c>
      <c r="E11" s="3">
        <v>3966100.9187974799</v>
      </c>
      <c r="F11" s="3">
        <v>9199206.3087991793</v>
      </c>
      <c r="G11" s="6">
        <f t="shared" si="0"/>
        <v>9199349.6086700018</v>
      </c>
      <c r="Z11" t="s">
        <v>53</v>
      </c>
    </row>
    <row r="12" spans="4:28" ht="18.75" x14ac:dyDescent="0.3">
      <c r="D12" t="s">
        <v>4</v>
      </c>
      <c r="E12" s="3">
        <v>3977250.76566457</v>
      </c>
      <c r="F12" s="3">
        <v>9225068.2563735005</v>
      </c>
      <c r="G12" s="6">
        <f t="shared" si="0"/>
        <v>9225181.573891677</v>
      </c>
      <c r="Z12" t="s">
        <v>54</v>
      </c>
    </row>
    <row r="13" spans="4:28" ht="18.75" x14ac:dyDescent="0.3">
      <c r="D13" t="s">
        <v>5</v>
      </c>
      <c r="E13" s="3">
        <v>3988400.6125316601</v>
      </c>
      <c r="F13" s="3">
        <v>9250930.6225787606</v>
      </c>
      <c r="G13" s="6">
        <f t="shared" si="0"/>
        <v>9251013.5391133502</v>
      </c>
      <c r="Z13">
        <f>0.044/0.96</f>
        <v>4.583333333333333E-2</v>
      </c>
      <c r="AB13">
        <f>1.04583*0.96</f>
        <v>1.0039967999999999</v>
      </c>
    </row>
    <row r="14" spans="4:28" ht="18.75" x14ac:dyDescent="0.3">
      <c r="D14" t="s">
        <v>6</v>
      </c>
      <c r="E14" s="3">
        <v>3999550.45939874</v>
      </c>
      <c r="F14" s="3">
        <v>9276793.0306411702</v>
      </c>
      <c r="G14" s="6">
        <f t="shared" si="0"/>
        <v>9276845.5043350011</v>
      </c>
      <c r="Z14" t="s">
        <v>55</v>
      </c>
    </row>
    <row r="15" spans="4:28" ht="18.75" x14ac:dyDescent="0.3">
      <c r="D15" t="s">
        <v>7</v>
      </c>
      <c r="E15" s="3">
        <v>4010700.3062658301</v>
      </c>
      <c r="F15" s="3">
        <v>9302655.4428886697</v>
      </c>
      <c r="G15" s="6">
        <f t="shared" si="0"/>
        <v>9302677.4695566762</v>
      </c>
      <c r="Z15" t="s">
        <v>56</v>
      </c>
      <c r="AB15" t="s">
        <v>62</v>
      </c>
    </row>
    <row r="16" spans="4:28" ht="18.75" x14ac:dyDescent="0.3">
      <c r="D16" t="s">
        <v>8</v>
      </c>
      <c r="E16" s="3">
        <v>4021850.1531329099</v>
      </c>
      <c r="F16" s="3">
        <v>9328517.8555546496</v>
      </c>
      <c r="G16" s="6">
        <f t="shared" si="0"/>
        <v>9328509.4347783271</v>
      </c>
      <c r="AB16" t="s">
        <v>63</v>
      </c>
    </row>
    <row r="17" spans="4:28" ht="18.75" x14ac:dyDescent="0.3">
      <c r="D17" t="s">
        <v>9</v>
      </c>
      <c r="E17" s="3">
        <v>4033000</v>
      </c>
      <c r="F17" s="3">
        <v>9354380.2682624701</v>
      </c>
      <c r="G17" s="6">
        <f t="shared" si="0"/>
        <v>9354341.4000000004</v>
      </c>
    </row>
    <row r="18" spans="4:28" ht="18.75" x14ac:dyDescent="0.3">
      <c r="D18" t="s">
        <v>10</v>
      </c>
      <c r="E18" s="3">
        <v>4033000</v>
      </c>
      <c r="F18" s="3">
        <v>9354380.2682624701</v>
      </c>
      <c r="G18" s="6"/>
    </row>
    <row r="19" spans="4:28" ht="18.75" x14ac:dyDescent="0.3">
      <c r="D19" t="s">
        <v>11</v>
      </c>
      <c r="E19">
        <v>3932651.3781962199</v>
      </c>
      <c r="F19">
        <v>9122135.59672991</v>
      </c>
      <c r="G19" s="6"/>
      <c r="Y19" t="s">
        <v>57</v>
      </c>
      <c r="Z19">
        <v>118612.856661438</v>
      </c>
    </row>
    <row r="20" spans="4:28" x14ac:dyDescent="0.25">
      <c r="Y20" t="s">
        <v>58</v>
      </c>
      <c r="Z20">
        <f>Z19*0.04583</f>
        <v>5436.0272207937032</v>
      </c>
    </row>
    <row r="21" spans="4:28" x14ac:dyDescent="0.25">
      <c r="Y21" t="s">
        <v>59</v>
      </c>
      <c r="Z21">
        <f>1.04583*Z19</f>
        <v>124048.8838822317</v>
      </c>
      <c r="AB21">
        <f>1.00039968*Z19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316F-A291-475E-9A44-D569A3E8F7A0}">
  <sheetPr>
    <tabColor theme="9" tint="-0.499984740745262"/>
  </sheetPr>
  <dimension ref="D2:V21"/>
  <sheetViews>
    <sheetView zoomScale="70" zoomScaleNormal="70" workbookViewId="0">
      <selection activeCell="G8" sqref="G8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0" max="20" width="42.140625" customWidth="1"/>
    <col min="22" max="22" width="19.7109375" bestFit="1" customWidth="1"/>
  </cols>
  <sheetData>
    <row r="2" spans="4:22" ht="21" x14ac:dyDescent="0.35">
      <c r="D2" s="8" t="s">
        <v>68</v>
      </c>
      <c r="E2" s="4"/>
      <c r="F2" s="4"/>
      <c r="G2" s="4"/>
    </row>
    <row r="6" spans="4:22" x14ac:dyDescent="0.25">
      <c r="E6" s="1"/>
      <c r="F6" s="1"/>
    </row>
    <row r="7" spans="4:22" x14ac:dyDescent="0.25">
      <c r="E7" s="1" t="s">
        <v>12</v>
      </c>
      <c r="F7" s="1" t="s">
        <v>13</v>
      </c>
      <c r="G7" t="s">
        <v>46</v>
      </c>
    </row>
    <row r="8" spans="4:22" ht="18.75" x14ac:dyDescent="0.3">
      <c r="D8" t="s">
        <v>0</v>
      </c>
      <c r="E8" s="3">
        <v>789987.28274168505</v>
      </c>
      <c r="F8" s="3">
        <v>16973010.759561501</v>
      </c>
      <c r="G8" s="6">
        <f>21.485*E8 - 129.2</f>
        <v>16972747.569705103</v>
      </c>
      <c r="T8" t="s">
        <v>60</v>
      </c>
      <c r="V8" t="s">
        <v>61</v>
      </c>
    </row>
    <row r="9" spans="4:22" ht="18.75" x14ac:dyDescent="0.3">
      <c r="D9" t="s">
        <v>1</v>
      </c>
      <c r="E9" s="3">
        <v>791099.80688149703</v>
      </c>
      <c r="F9" s="3">
        <v>16996916.9153862</v>
      </c>
      <c r="G9" s="6">
        <f t="shared" ref="G9:G17" si="0">21.485*E9 - 129.2</f>
        <v>16996650.150848962</v>
      </c>
      <c r="T9" t="s">
        <v>51</v>
      </c>
    </row>
    <row r="10" spans="4:22" ht="18.75" x14ac:dyDescent="0.3">
      <c r="D10" t="s">
        <v>2</v>
      </c>
      <c r="E10" s="3">
        <v>792212.33102130995</v>
      </c>
      <c r="F10" s="3">
        <v>17020819.6477772</v>
      </c>
      <c r="G10" s="6">
        <f t="shared" si="0"/>
        <v>17020552.731992844</v>
      </c>
      <c r="T10" t="s">
        <v>52</v>
      </c>
    </row>
    <row r="11" spans="4:22" ht="18.75" x14ac:dyDescent="0.3">
      <c r="D11" t="s">
        <v>3</v>
      </c>
      <c r="E11" s="3">
        <v>793324.85516112298</v>
      </c>
      <c r="F11" s="3">
        <v>17044722.422311999</v>
      </c>
      <c r="G11" s="6">
        <f t="shared" si="0"/>
        <v>17044455.313136727</v>
      </c>
      <c r="T11" t="s">
        <v>53</v>
      </c>
    </row>
    <row r="12" spans="4:22" ht="18.75" x14ac:dyDescent="0.3">
      <c r="D12" t="s">
        <v>4</v>
      </c>
      <c r="E12" s="3">
        <v>794437.37930093601</v>
      </c>
      <c r="F12" s="3">
        <v>17068625.196862601</v>
      </c>
      <c r="G12" s="6">
        <f t="shared" si="0"/>
        <v>17068357.894280609</v>
      </c>
      <c r="T12" t="s">
        <v>54</v>
      </c>
    </row>
    <row r="13" spans="4:22" ht="18.75" x14ac:dyDescent="0.3">
      <c r="D13" t="s">
        <v>5</v>
      </c>
      <c r="E13" s="3">
        <v>795549.90344074904</v>
      </c>
      <c r="F13" s="3">
        <v>17092527.971404299</v>
      </c>
      <c r="G13" s="6">
        <f t="shared" si="0"/>
        <v>17092260.475424495</v>
      </c>
      <c r="T13">
        <f>0.044/0.96</f>
        <v>4.583333333333333E-2</v>
      </c>
      <c r="V13">
        <f>1.04583*0.96</f>
        <v>1.0039967999999999</v>
      </c>
    </row>
    <row r="14" spans="4:22" ht="18.75" x14ac:dyDescent="0.3">
      <c r="D14" t="s">
        <v>6</v>
      </c>
      <c r="E14" s="3">
        <v>796662.42758056195</v>
      </c>
      <c r="F14" s="3">
        <v>17116430.745945901</v>
      </c>
      <c r="G14" s="6">
        <f t="shared" si="0"/>
        <v>17116163.056568373</v>
      </c>
      <c r="T14" t="s">
        <v>55</v>
      </c>
    </row>
    <row r="15" spans="4:22" ht="18.75" x14ac:dyDescent="0.3">
      <c r="D15" t="s">
        <v>7</v>
      </c>
      <c r="E15" s="3">
        <v>797774.95172037499</v>
      </c>
      <c r="F15" s="3">
        <v>17140333.520487498</v>
      </c>
      <c r="G15" s="6">
        <f t="shared" si="0"/>
        <v>17140065.637712255</v>
      </c>
      <c r="T15" t="s">
        <v>56</v>
      </c>
      <c r="V15" t="s">
        <v>62</v>
      </c>
    </row>
    <row r="16" spans="4:22" ht="18.75" x14ac:dyDescent="0.3">
      <c r="D16" t="s">
        <v>8</v>
      </c>
      <c r="E16" s="3">
        <v>798887.47586018697</v>
      </c>
      <c r="F16" s="3">
        <v>17164236.295029201</v>
      </c>
      <c r="G16" s="6">
        <f t="shared" si="0"/>
        <v>17163968.218856119</v>
      </c>
      <c r="V16" t="s">
        <v>63</v>
      </c>
    </row>
    <row r="17" spans="4:22" ht="18.75" x14ac:dyDescent="0.3">
      <c r="D17" t="s">
        <v>9</v>
      </c>
      <c r="E17" s="3">
        <v>800000</v>
      </c>
      <c r="F17" s="3">
        <v>17188139.069570899</v>
      </c>
      <c r="G17" s="6">
        <f t="shared" si="0"/>
        <v>17187870.800000001</v>
      </c>
    </row>
    <row r="18" spans="4:22" ht="18.75" x14ac:dyDescent="0.3">
      <c r="D18" t="s">
        <v>10</v>
      </c>
      <c r="E18" s="3">
        <v>800000</v>
      </c>
      <c r="F18" s="3">
        <v>17188139.069570899</v>
      </c>
      <c r="G18" s="6"/>
    </row>
    <row r="19" spans="4:22" ht="18.75" x14ac:dyDescent="0.3">
      <c r="D19" t="s">
        <v>11</v>
      </c>
      <c r="E19">
        <v>789987.28274168505</v>
      </c>
      <c r="F19">
        <v>16973010.759561501</v>
      </c>
      <c r="G19" s="6"/>
      <c r="S19" t="s">
        <v>57</v>
      </c>
      <c r="T19">
        <v>118612.856661438</v>
      </c>
    </row>
    <row r="20" spans="4:22" x14ac:dyDescent="0.25">
      <c r="S20" t="s">
        <v>58</v>
      </c>
      <c r="T20">
        <f>T19*0.04583</f>
        <v>5436.0272207937032</v>
      </c>
    </row>
    <row r="21" spans="4:22" x14ac:dyDescent="0.25">
      <c r="S21" t="s">
        <v>59</v>
      </c>
      <c r="T21">
        <f>1.04583*T19</f>
        <v>124048.8838822317</v>
      </c>
      <c r="V21">
        <f>1.00039968*T19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984-E607-49F6-9126-D65BD2ECDA4B}">
  <sheetPr>
    <tabColor theme="9" tint="-0.499984740745262"/>
  </sheetPr>
  <dimension ref="D2:V21"/>
  <sheetViews>
    <sheetView tabSelected="1" zoomScale="70" zoomScaleNormal="70" workbookViewId="0">
      <selection activeCell="G18" sqref="G18"/>
    </sheetView>
  </sheetViews>
  <sheetFormatPr defaultRowHeight="15" x14ac:dyDescent="0.25"/>
  <cols>
    <col min="4" max="4" width="51.42578125" bestFit="1" customWidth="1"/>
    <col min="5" max="6" width="13" bestFit="1" customWidth="1"/>
    <col min="7" max="7" width="27.5703125" bestFit="1" customWidth="1"/>
    <col min="20" max="20" width="42.140625" customWidth="1"/>
    <col min="22" max="22" width="19.7109375" bestFit="1" customWidth="1"/>
  </cols>
  <sheetData>
    <row r="2" spans="4:22" ht="21" x14ac:dyDescent="0.35">
      <c r="D2" s="8" t="s">
        <v>68</v>
      </c>
      <c r="E2" s="4"/>
      <c r="F2" s="4"/>
      <c r="G2" s="4"/>
    </row>
    <row r="6" spans="4:22" x14ac:dyDescent="0.25">
      <c r="E6" s="1"/>
      <c r="F6" s="1"/>
    </row>
    <row r="7" spans="4:22" x14ac:dyDescent="0.25">
      <c r="E7" s="1" t="s">
        <v>12</v>
      </c>
      <c r="F7" s="1" t="s">
        <v>13</v>
      </c>
      <c r="G7" t="s">
        <v>46</v>
      </c>
    </row>
    <row r="8" spans="4:22" ht="18.75" x14ac:dyDescent="0.3">
      <c r="D8" t="s">
        <v>0</v>
      </c>
      <c r="E8" s="3">
        <v>268230.82922382402</v>
      </c>
      <c r="F8" s="3">
        <v>28210410.7919374</v>
      </c>
      <c r="G8" s="6">
        <f>105.17*E8 + 0.00003</f>
        <v>28209836.309499573</v>
      </c>
      <c r="T8" t="s">
        <v>60</v>
      </c>
      <c r="V8" t="s">
        <v>61</v>
      </c>
    </row>
    <row r="9" spans="4:22" ht="18.75" x14ac:dyDescent="0.3">
      <c r="D9" t="s">
        <v>1</v>
      </c>
      <c r="E9" s="3">
        <v>269338.51486562099</v>
      </c>
      <c r="F9" s="3">
        <v>28326908.4632673</v>
      </c>
      <c r="G9" s="6">
        <f t="shared" ref="G9:G18" si="0">105.17*E9 + 0.00003</f>
        <v>28326331.608447362</v>
      </c>
      <c r="T9" t="s">
        <v>51</v>
      </c>
    </row>
    <row r="10" spans="4:22" ht="18.75" x14ac:dyDescent="0.3">
      <c r="D10" t="s">
        <v>2</v>
      </c>
      <c r="E10" s="3">
        <v>270446.20050741901</v>
      </c>
      <c r="F10" s="3">
        <v>28443406.1345964</v>
      </c>
      <c r="G10" s="6">
        <f t="shared" si="0"/>
        <v>28442826.907395259</v>
      </c>
      <c r="T10" t="s">
        <v>52</v>
      </c>
    </row>
    <row r="11" spans="4:22" ht="18.75" x14ac:dyDescent="0.3">
      <c r="D11" t="s">
        <v>3</v>
      </c>
      <c r="E11" s="3">
        <v>271553.88614921598</v>
      </c>
      <c r="F11" s="3">
        <v>28559903.805926699</v>
      </c>
      <c r="G11" s="6">
        <f t="shared" si="0"/>
        <v>28559322.206343044</v>
      </c>
      <c r="T11" t="s">
        <v>53</v>
      </c>
    </row>
    <row r="12" spans="4:22" ht="18.75" x14ac:dyDescent="0.3">
      <c r="D12" t="s">
        <v>4</v>
      </c>
      <c r="E12" s="3">
        <v>272661.571791013</v>
      </c>
      <c r="F12" s="3">
        <v>28676401.477256201</v>
      </c>
      <c r="G12" s="6">
        <f t="shared" si="0"/>
        <v>28675817.505290836</v>
      </c>
      <c r="T12" t="s">
        <v>54</v>
      </c>
    </row>
    <row r="13" spans="4:22" ht="18.75" x14ac:dyDescent="0.3">
      <c r="D13" t="s">
        <v>5</v>
      </c>
      <c r="E13" s="3">
        <v>273769.25743281102</v>
      </c>
      <c r="F13" s="3">
        <v>28792899.1485864</v>
      </c>
      <c r="G13" s="6">
        <f t="shared" si="0"/>
        <v>28792312.804238737</v>
      </c>
      <c r="T13">
        <f>0.044/0.96</f>
        <v>4.583333333333333E-2</v>
      </c>
      <c r="V13">
        <f>1.04583*0.96</f>
        <v>1.0039967999999999</v>
      </c>
    </row>
    <row r="14" spans="4:22" ht="18.75" x14ac:dyDescent="0.3">
      <c r="D14" t="s">
        <v>6</v>
      </c>
      <c r="E14" s="3">
        <v>274876.94307460799</v>
      </c>
      <c r="F14" s="3">
        <v>28909396.819915999</v>
      </c>
      <c r="G14" s="6">
        <f t="shared" si="0"/>
        <v>28908808.103186522</v>
      </c>
      <c r="T14" t="s">
        <v>55</v>
      </c>
    </row>
    <row r="15" spans="4:22" ht="18.75" x14ac:dyDescent="0.3">
      <c r="D15" t="s">
        <v>7</v>
      </c>
      <c r="E15" s="3">
        <v>275984.62871640502</v>
      </c>
      <c r="F15" s="3">
        <v>29025894.491245899</v>
      </c>
      <c r="G15" s="6">
        <f t="shared" si="0"/>
        <v>29025303.402134314</v>
      </c>
      <c r="T15" t="s">
        <v>56</v>
      </c>
      <c r="V15" t="s">
        <v>62</v>
      </c>
    </row>
    <row r="16" spans="4:22" ht="18.75" x14ac:dyDescent="0.3">
      <c r="D16" t="s">
        <v>8</v>
      </c>
      <c r="E16" s="3">
        <v>277092.31435820297</v>
      </c>
      <c r="F16" s="3">
        <v>29142392.162575599</v>
      </c>
      <c r="G16" s="6">
        <f t="shared" si="0"/>
        <v>29141798.701082207</v>
      </c>
      <c r="V16" t="s">
        <v>63</v>
      </c>
    </row>
    <row r="17" spans="4:22" ht="18.75" x14ac:dyDescent="0.3">
      <c r="D17" t="s">
        <v>9</v>
      </c>
      <c r="E17" s="3">
        <v>278200</v>
      </c>
      <c r="F17" s="3">
        <v>29258889.8339056</v>
      </c>
      <c r="G17" s="6">
        <f t="shared" si="0"/>
        <v>29258294.00003</v>
      </c>
    </row>
    <row r="18" spans="4:22" ht="18.75" x14ac:dyDescent="0.3">
      <c r="D18" t="s">
        <v>10</v>
      </c>
      <c r="E18" s="3">
        <v>278200</v>
      </c>
      <c r="F18" s="3">
        <v>29258889.8339056</v>
      </c>
      <c r="G18" s="6"/>
    </row>
    <row r="19" spans="4:22" ht="18.75" x14ac:dyDescent="0.3">
      <c r="D19" t="s">
        <v>11</v>
      </c>
      <c r="E19">
        <v>268230.82922382402</v>
      </c>
      <c r="F19">
        <v>28210410.7919374</v>
      </c>
      <c r="G19" s="6"/>
      <c r="S19" t="s">
        <v>57</v>
      </c>
      <c r="T19">
        <v>118612.856661438</v>
      </c>
    </row>
    <row r="20" spans="4:22" x14ac:dyDescent="0.25">
      <c r="S20" t="s">
        <v>58</v>
      </c>
      <c r="T20">
        <f>T19*0.04583</f>
        <v>5436.0272207937032</v>
      </c>
    </row>
    <row r="21" spans="4:22" x14ac:dyDescent="0.25">
      <c r="S21" t="s">
        <v>59</v>
      </c>
      <c r="T21">
        <f>1.04583*T19</f>
        <v>124048.8838822317</v>
      </c>
      <c r="V21">
        <f>1.00039968*T19</f>
        <v>118660.26384798843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MAIN{K-101}</vt:lpstr>
      <vt:lpstr>MAIN{C-33001A B}</vt:lpstr>
      <vt:lpstr>URGN{C-20501ABC}</vt:lpstr>
      <vt:lpstr>UPGNII{C-21101AB}</vt:lpstr>
      <vt:lpstr>URL-I{C-20604}</vt:lpstr>
      <vt:lpstr>URL-II{C-20604} </vt:lpstr>
      <vt:lpstr>URL-III{C-20604} </vt:lpstr>
      <vt:lpstr>URL-I{C-21003AB}</vt:lpstr>
      <vt:lpstr>URL-II{C-21003AB}</vt:lpstr>
      <vt:lpstr>URL-III-{C-21003AB}</vt:lpstr>
      <vt:lpstr>URGN{C-20502{URGN}}</vt:lpstr>
      <vt:lpstr>UPCGNII-{C-29801A}</vt:lpstr>
      <vt:lpstr>UPCGNII-{C-29801B}</vt:lpstr>
      <vt:lpstr>UPCGNIII-{C-29801A} </vt:lpstr>
      <vt:lpstr>UPCGNIII-{C-29801B}</vt:lpstr>
      <vt:lpstr>UPCGNIV-{C-29801A} </vt:lpstr>
      <vt:lpstr>UPCGNIV-{C-29801B}</vt:lpstr>
      <vt:lpstr>URL-I-{C-20602} </vt:lpstr>
      <vt:lpstr>URL-II-{C-20602} </vt:lpstr>
      <vt:lpstr>URL-III-{C-20602} </vt:lpstr>
      <vt:lpstr>UPGN-II-{C-21102A.}</vt:lpstr>
      <vt:lpstr>UPGN-II-{C-21102B}</vt:lpstr>
      <vt:lpstr>MAIN-{K-100}</vt:lpstr>
      <vt:lpstr>CARGA_URL-1</vt:lpstr>
      <vt:lpstr>CARGA_URL-2</vt:lpstr>
      <vt:lpstr>CARGA_URL-3</vt:lpstr>
      <vt:lpstr>CARGA_URL-3 X REGENERAÇÃO</vt:lpstr>
      <vt:lpstr>UPGN-IICARGA_T01 X REBOILER T01</vt:lpstr>
      <vt:lpstr>UPGN-IICARGA_T02 X REBOILERT02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Lizandro de Sousa Santos</dc:creator>
  <cp:lastModifiedBy>Lizandro de Sousa Santos</cp:lastModifiedBy>
  <dcterms:created xsi:type="dcterms:W3CDTF">2024-01-16T18:16:07Z</dcterms:created>
  <dcterms:modified xsi:type="dcterms:W3CDTF">2024-01-19T15:32:15Z</dcterms:modified>
</cp:coreProperties>
</file>