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i\Documents\MATH 5760\Project2MATH5760LM\Project2MATH5760gen\"/>
    </mc:Choice>
  </mc:AlternateContent>
  <xr:revisionPtr revIDLastSave="0" documentId="13_ncr:1_{D3F981AC-45A8-4FAC-B8AA-AE98D765072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roblem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5" i="1" l="1"/>
  <c r="AA23" i="1"/>
  <c r="V22" i="1" a="1"/>
  <c r="V22" i="1"/>
  <c r="V21" i="1" a="1"/>
  <c r="V21" i="1"/>
  <c r="P26" i="1"/>
  <c r="X25" i="1"/>
  <c r="X24" i="1"/>
  <c r="X23" i="1"/>
  <c r="X22" i="1"/>
  <c r="X21" i="1"/>
  <c r="P21" i="1"/>
  <c r="AA31" i="1"/>
  <c r="V15" i="1"/>
  <c r="V32" i="1"/>
  <c r="V31" i="1"/>
  <c r="V30" i="1" a="1"/>
  <c r="V30" i="1"/>
  <c r="V29" i="1" a="1"/>
  <c r="V29" i="1"/>
  <c r="X33" i="1"/>
  <c r="X32" i="1"/>
  <c r="X31" i="1"/>
  <c r="X30" i="1"/>
  <c r="X29" i="1"/>
  <c r="X17" i="1"/>
  <c r="X16" i="1"/>
  <c r="X15" i="1"/>
  <c r="X14" i="1"/>
  <c r="X13" i="1"/>
  <c r="V14" i="1" a="1"/>
  <c r="V14" i="1"/>
  <c r="V13" i="1" a="1"/>
  <c r="V13" i="1"/>
  <c r="O14" i="1" a="1"/>
  <c r="O14" i="1"/>
  <c r="S11" i="1"/>
  <c r="S10" i="1"/>
  <c r="S9" i="1"/>
  <c r="R11" i="1"/>
  <c r="R10" i="1"/>
  <c r="R9" i="1"/>
  <c r="P11" i="1"/>
  <c r="Q11" i="1"/>
  <c r="Q10" i="1"/>
  <c r="Q9" i="1"/>
  <c r="O11" i="1"/>
  <c r="P10" i="1"/>
  <c r="P9" i="1"/>
  <c r="O10" i="1"/>
  <c r="O9" i="1"/>
  <c r="S8" i="1"/>
  <c r="R8" i="1"/>
  <c r="Q8" i="1"/>
  <c r="P8" i="1"/>
  <c r="O8" i="1"/>
  <c r="S7" i="1"/>
  <c r="R7" i="1"/>
  <c r="Q7" i="1"/>
  <c r="P7" i="1"/>
  <c r="O7" i="1"/>
  <c r="Q14" i="1" a="1"/>
  <c r="Q14" i="1"/>
  <c r="P14" i="1" a="1"/>
  <c r="P14" i="1"/>
  <c r="S22" i="1" s="1" a="1"/>
  <c r="S22" i="1" s="1"/>
  <c r="S27" i="1" s="1"/>
  <c r="L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Q5" i="1"/>
  <c r="R5" i="1"/>
  <c r="O5" i="1"/>
  <c r="Q3" i="1"/>
  <c r="R3" i="1"/>
  <c r="S3" i="1"/>
  <c r="S5" i="1" s="1"/>
  <c r="P3" i="1"/>
  <c r="P5" i="1" s="1"/>
  <c r="O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3" i="1"/>
  <c r="O16" i="1" l="1"/>
  <c r="S14" i="1" a="1"/>
  <c r="S14" i="1" s="1"/>
  <c r="S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<sst xmlns="http://schemas.openxmlformats.org/spreadsheetml/2006/main" count="62" uniqueCount="44">
  <si>
    <t>Date</t>
  </si>
  <si>
    <t>SBUX Adj Close</t>
  </si>
  <si>
    <t>MSFT Adj Close</t>
  </si>
  <si>
    <t>TGT Adj Close</t>
  </si>
  <si>
    <t>GM Adj Close</t>
  </si>
  <si>
    <t>BA Adj Close</t>
  </si>
  <si>
    <t>SBUX Daily Returns</t>
  </si>
  <si>
    <t>MSFT Daily Returns</t>
  </si>
  <si>
    <t>TGT Daily Returns</t>
  </si>
  <si>
    <t>GM Daily Returns</t>
  </si>
  <si>
    <t>BA Daily Returns</t>
  </si>
  <si>
    <t>SBUX</t>
  </si>
  <si>
    <t>MSFT</t>
  </si>
  <si>
    <t>TGT</t>
  </si>
  <si>
    <t>GM</t>
  </si>
  <si>
    <t>BA</t>
  </si>
  <si>
    <t>e</t>
  </si>
  <si>
    <t>Average Daily Return</t>
  </si>
  <si>
    <t>Annualized Return</t>
  </si>
  <si>
    <t>(mu)</t>
  </si>
  <si>
    <t>Covariance Matrix V</t>
  </si>
  <si>
    <t>Global Minimum Variance Portfolio:</t>
  </si>
  <si>
    <t>A</t>
  </si>
  <si>
    <t>B</t>
  </si>
  <si>
    <t>C</t>
  </si>
  <si>
    <t>w_G</t>
  </si>
  <si>
    <t>mu_p(w)</t>
  </si>
  <si>
    <t>w_SBUX</t>
  </si>
  <si>
    <t>w_G is minimum variance portfolio weight vector</t>
  </si>
  <si>
    <t>sigma_p(w)</t>
  </si>
  <si>
    <t>w_MSFT</t>
  </si>
  <si>
    <t>AC-B^2</t>
  </si>
  <si>
    <t>alt calc for mu</t>
  </si>
  <si>
    <t>w_TGT</t>
  </si>
  <si>
    <t>Sharpe</t>
  </si>
  <si>
    <t>w_GM</t>
  </si>
  <si>
    <t>w_BA</t>
  </si>
  <si>
    <t>Sum of w_i</t>
  </si>
  <si>
    <t>Market Portfolio Assuming r=1%</t>
  </si>
  <si>
    <t>a_mu</t>
  </si>
  <si>
    <t>w_D</t>
  </si>
  <si>
    <t>Diversified Portfolio (r=0)</t>
  </si>
  <si>
    <t>w_D is diversified portfolio weight vector</t>
  </si>
  <si>
    <t>alt calc for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</si>
</sst>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33</xdr:row>
      <xdr:rowOff>14288</xdr:rowOff>
    </xdr:from>
    <xdr:to>
      <xdr:col>21</xdr:col>
      <xdr:colOff>628650</xdr:colOff>
      <xdr:row>44</xdr:row>
      <xdr:rowOff>4763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1AEBB8-89B2-423E-9F94-FFC44C29365E}"/>
            </a:ext>
          </a:extLst>
        </xdr:cNvPr>
        <xdr:cNvSpPr txBox="1"/>
      </xdr:nvSpPr>
      <xdr:spPr>
        <a:xfrm>
          <a:off x="12896850" y="5986463"/>
          <a:ext cx="8177213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Given the idea that a higher Sharpe Ratio</a:t>
          </a:r>
          <a:r>
            <a:rPr lang="en-US" sz="1100" baseline="0"/>
            <a:t> is a better performing portfolio,</a:t>
          </a:r>
          <a:endParaRPr lang="en-US" sz="1100"/>
        </a:p>
        <a:p>
          <a:endParaRPr lang="en-US" sz="1100"/>
        </a:p>
        <a:p>
          <a:r>
            <a:rPr lang="en-US" sz="1100"/>
            <a:t>The</a:t>
          </a:r>
          <a:r>
            <a:rPr lang="en-US" sz="1100" baseline="0"/>
            <a:t> Diversified Portfolio is best.</a:t>
          </a:r>
        </a:p>
        <a:p>
          <a:endParaRPr lang="en-US" sz="1100" baseline="0"/>
        </a:p>
        <a:p>
          <a:r>
            <a:rPr lang="en-US" sz="1100" baseline="0"/>
            <a:t>Then the Global Minimum Variance Portfolio. (Which performed similarly to the Diversified Portfolio).</a:t>
          </a:r>
        </a:p>
        <a:p>
          <a:endParaRPr lang="en-US" sz="1100" baseline="0"/>
        </a:p>
        <a:p>
          <a:r>
            <a:rPr lang="en-US" sz="1100" baseline="0"/>
            <a:t>Then the Market Portfolio.</a:t>
          </a:r>
        </a:p>
        <a:p>
          <a:endParaRPr lang="en-US" sz="1100" baseline="0"/>
        </a:p>
        <a:p>
          <a:r>
            <a:rPr lang="en-US" sz="1100" baseline="0"/>
            <a:t>These are all better than just investing in the individual stocks, however.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tabSelected="1" topLeftCell="M22" workbookViewId="0">
      <selection activeCell="N34" sqref="N34"/>
    </sheetView>
  </sheetViews>
  <sheetFormatPr defaultRowHeight="14.25" x14ac:dyDescent="0.45"/>
  <cols>
    <col min="1" max="1" width="10.3984375" bestFit="1" customWidth="1"/>
    <col min="2" max="2" width="14.3984375" bestFit="1" customWidth="1"/>
    <col min="3" max="3" width="14.265625" bestFit="1" customWidth="1"/>
    <col min="4" max="4" width="13.265625" bestFit="1" customWidth="1"/>
    <col min="5" max="5" width="12.86328125" bestFit="1" customWidth="1"/>
    <col min="6" max="6" width="12" bestFit="1" customWidth="1"/>
    <col min="8" max="8" width="18.1328125" bestFit="1" customWidth="1"/>
    <col min="9" max="9" width="18" bestFit="1" customWidth="1"/>
    <col min="10" max="10" width="16.73046875" bestFit="1" customWidth="1"/>
    <col min="11" max="11" width="16.59765625" bestFit="1" customWidth="1"/>
    <col min="12" max="12" width="15.73046875" bestFit="1" customWidth="1"/>
    <col min="14" max="14" width="33.1328125" bestFit="1" customWidth="1"/>
    <col min="15" max="15" width="9.265625" bestFit="1" customWidth="1"/>
    <col min="18" max="18" width="12.86328125" bestFit="1" customWidth="1"/>
    <col min="21" max="21" width="14.1328125" bestFit="1" customWidth="1"/>
    <col min="23" max="23" width="10.597656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U1" t="s">
        <v>16</v>
      </c>
    </row>
    <row r="2" spans="1:27" x14ac:dyDescent="0.45">
      <c r="A2" s="1">
        <v>44333</v>
      </c>
      <c r="B2">
        <v>110.076294</v>
      </c>
      <c r="C2">
        <v>243.70190400000001</v>
      </c>
      <c r="D2">
        <v>207.913712</v>
      </c>
      <c r="E2">
        <v>56.040000999999997</v>
      </c>
      <c r="F2">
        <v>227.979996</v>
      </c>
    </row>
    <row r="3" spans="1:27" x14ac:dyDescent="0.45">
      <c r="A3" s="1">
        <v>44334</v>
      </c>
      <c r="B3">
        <v>110.16555</v>
      </c>
      <c r="C3">
        <v>241.614563</v>
      </c>
      <c r="D3">
        <v>205.023529</v>
      </c>
      <c r="E3">
        <v>55.889999000000003</v>
      </c>
      <c r="F3">
        <v>227.550003</v>
      </c>
      <c r="H3">
        <f>(B3-B2)/B2</f>
        <v>8.1085578698708539E-4</v>
      </c>
      <c r="I3">
        <f>(C3-C2)/C2</f>
        <v>-8.5651403035407105E-3</v>
      </c>
      <c r="J3">
        <f>(D3-D2)/D2</f>
        <v>-1.3900877302407104E-2</v>
      </c>
      <c r="K3">
        <f>(E3-E2)/E2</f>
        <v>-2.6766951699375157E-3</v>
      </c>
      <c r="L3">
        <f>(F3-F2)/F2</f>
        <v>-1.8860996909570789E-3</v>
      </c>
      <c r="N3" t="s">
        <v>17</v>
      </c>
      <c r="O3" s="2">
        <f>AVERAGE(H3:H65)</f>
        <v>1.0319158320123607E-3</v>
      </c>
      <c r="P3" s="2">
        <f>AVERAGE(I3:I65)</f>
        <v>2.9911814113994534E-3</v>
      </c>
      <c r="Q3" s="2">
        <f t="shared" ref="Q3:S3" si="0">AVERAGE(J3:J65)</f>
        <v>3.6935188588453124E-3</v>
      </c>
      <c r="R3" s="2">
        <f t="shared" si="0"/>
        <v>-6.6733434731942919E-4</v>
      </c>
      <c r="S3" s="2">
        <f t="shared" si="0"/>
        <v>2.6402144684028631E-4</v>
      </c>
      <c r="U3">
        <v>1</v>
      </c>
    </row>
    <row r="4" spans="1:27" x14ac:dyDescent="0.45">
      <c r="A4" s="1">
        <v>44335</v>
      </c>
      <c r="B4">
        <v>108.776955</v>
      </c>
      <c r="C4">
        <v>242.212311</v>
      </c>
      <c r="D4">
        <v>217.517807</v>
      </c>
      <c r="E4">
        <v>55.529998999999997</v>
      </c>
      <c r="F4">
        <v>224.41999799999999</v>
      </c>
      <c r="H4">
        <f t="shared" ref="H4:H65" si="1">(B4-B3)/B3</f>
        <v>-1.2604620954554261E-2</v>
      </c>
      <c r="I4">
        <f t="shared" ref="I4:I65" si="2">(C4-C3)/C3</f>
        <v>2.4739733920756909E-3</v>
      </c>
      <c r="J4">
        <f t="shared" ref="J4:J65" si="3">(D4-D3)/D3</f>
        <v>6.0940703054623589E-2</v>
      </c>
      <c r="K4">
        <f t="shared" ref="K4:K65" si="4">(E4-E3)/E3</f>
        <v>-6.4412239477765337E-3</v>
      </c>
      <c r="L4">
        <f>(F4-F3)/F3</f>
        <v>-1.3755240425112239E-2</v>
      </c>
      <c r="U4">
        <v>1</v>
      </c>
    </row>
    <row r="5" spans="1:27" x14ac:dyDescent="0.45">
      <c r="A5" s="1">
        <v>44336</v>
      </c>
      <c r="B5">
        <v>110.502792</v>
      </c>
      <c r="C5">
        <v>245.55976899999999</v>
      </c>
      <c r="D5">
        <v>220.27887000000001</v>
      </c>
      <c r="E5">
        <v>55.509998000000003</v>
      </c>
      <c r="F5">
        <v>227.64999399999999</v>
      </c>
      <c r="H5">
        <f t="shared" si="1"/>
        <v>1.5865832979053317E-2</v>
      </c>
      <c r="I5">
        <f t="shared" si="2"/>
        <v>1.3820346233350579E-2</v>
      </c>
      <c r="J5">
        <f t="shared" si="3"/>
        <v>1.2693503295571599E-2</v>
      </c>
      <c r="K5">
        <f t="shared" si="4"/>
        <v>-3.6018369098104065E-4</v>
      </c>
      <c r="L5">
        <f t="shared" ref="L5:L65" si="5">(F5-F4)/F4</f>
        <v>1.4392638930510996E-2</v>
      </c>
      <c r="N5" t="s">
        <v>18</v>
      </c>
      <c r="O5" s="2">
        <f>O3*252</f>
        <v>0.26004278966711492</v>
      </c>
      <c r="P5" s="2">
        <f t="shared" ref="P5:S5" si="6">P3*252</f>
        <v>0.75377771567266227</v>
      </c>
      <c r="Q5" s="2">
        <f t="shared" si="6"/>
        <v>0.93076675242901874</v>
      </c>
      <c r="R5" s="2">
        <f t="shared" si="6"/>
        <v>-0.16816825552449616</v>
      </c>
      <c r="S5" s="2">
        <f t="shared" si="6"/>
        <v>6.653340460375215E-2</v>
      </c>
      <c r="T5" t="s">
        <v>19</v>
      </c>
      <c r="U5">
        <v>1</v>
      </c>
    </row>
    <row r="6" spans="1:27" x14ac:dyDescent="0.45">
      <c r="A6" s="1">
        <v>44337</v>
      </c>
      <c r="B6">
        <v>110.016777</v>
      </c>
      <c r="C6">
        <v>244.25466900000001</v>
      </c>
      <c r="D6">
        <v>223.55638099999999</v>
      </c>
      <c r="E6">
        <v>56.720001000000003</v>
      </c>
      <c r="F6">
        <v>234.820007</v>
      </c>
      <c r="H6">
        <f t="shared" si="1"/>
        <v>-4.3982146623045941E-3</v>
      </c>
      <c r="I6">
        <f t="shared" si="2"/>
        <v>-5.3147956821867747E-3</v>
      </c>
      <c r="J6">
        <f t="shared" si="3"/>
        <v>1.4878916892936555E-2</v>
      </c>
      <c r="K6">
        <f t="shared" si="4"/>
        <v>2.1797929086576445E-2</v>
      </c>
      <c r="L6">
        <f t="shared" si="5"/>
        <v>3.1495775044913958E-2</v>
      </c>
      <c r="U6">
        <v>1</v>
      </c>
    </row>
    <row r="7" spans="1:27" x14ac:dyDescent="0.45">
      <c r="A7" s="1">
        <v>44340</v>
      </c>
      <c r="B7">
        <v>111.603745</v>
      </c>
      <c r="C7">
        <v>249.84373500000001</v>
      </c>
      <c r="D7">
        <v>223.87420700000001</v>
      </c>
      <c r="E7">
        <v>56.599997999999999</v>
      </c>
      <c r="F7">
        <v>237.44000199999999</v>
      </c>
      <c r="H7">
        <f t="shared" si="1"/>
        <v>1.4424781776692102E-2</v>
      </c>
      <c r="I7">
        <f t="shared" si="2"/>
        <v>2.2882125540863264E-2</v>
      </c>
      <c r="J7">
        <f t="shared" si="3"/>
        <v>1.4216816293873761E-3</v>
      </c>
      <c r="K7">
        <f t="shared" si="4"/>
        <v>-2.115708707410003E-3</v>
      </c>
      <c r="L7">
        <f t="shared" si="5"/>
        <v>1.1157460701378774E-2</v>
      </c>
      <c r="N7" t="s">
        <v>20</v>
      </c>
      <c r="O7">
        <f>_xlfn.COVARIANCE.S(H3:H65,H3:H65)*252</f>
        <v>2.9893079883043735E-2</v>
      </c>
      <c r="P7">
        <f>_xlfn.COVARIANCE.S(H3:H65,I3:I65)*252</f>
        <v>1.3501751234400202E-2</v>
      </c>
      <c r="Q7">
        <f>_xlfn.COVARIANCE.S(H3:H65,J3:J65)*252</f>
        <v>3.8903689384727448E-3</v>
      </c>
      <c r="R7">
        <f>_xlfn.COVARIANCE.S(H3:H65,K3:K65)*252</f>
        <v>3.3441631966918007E-3</v>
      </c>
      <c r="S7">
        <f>_xlfn.COVARIANCE.S(H3:H65,L3:L65)*252</f>
        <v>7.3258068662313209E-3</v>
      </c>
      <c r="U7">
        <v>1</v>
      </c>
    </row>
    <row r="8" spans="1:27" x14ac:dyDescent="0.45">
      <c r="A8" s="1">
        <v>44341</v>
      </c>
      <c r="B8">
        <v>111.712845</v>
      </c>
      <c r="C8">
        <v>250.78022799999999</v>
      </c>
      <c r="D8">
        <v>223.76495399999999</v>
      </c>
      <c r="E8">
        <v>56.759998000000003</v>
      </c>
      <c r="F8">
        <v>240.740005</v>
      </c>
      <c r="H8">
        <f t="shared" si="1"/>
        <v>9.7756576179408648E-4</v>
      </c>
      <c r="I8">
        <f t="shared" si="2"/>
        <v>3.7483149217249112E-3</v>
      </c>
      <c r="J8">
        <f t="shared" si="3"/>
        <v>-4.8801066216629324E-4</v>
      </c>
      <c r="K8">
        <f t="shared" si="4"/>
        <v>2.8268552235638541E-3</v>
      </c>
      <c r="L8">
        <f t="shared" si="5"/>
        <v>1.3898260496140005E-2</v>
      </c>
      <c r="O8" s="3">
        <f>_xlfn.COVARIANCE.S(H3:H65,I3:I65)*252</f>
        <v>1.3501751234400202E-2</v>
      </c>
      <c r="P8">
        <f>_xlfn.COVARIANCE.S(I3:I65,I3:I65)*252</f>
        <v>1.8281032993081561E-2</v>
      </c>
      <c r="Q8">
        <f>_xlfn.COVARIANCE.S(I3:I65,J3:J65)*252</f>
        <v>4.6281640282595281E-3</v>
      </c>
      <c r="R8">
        <f>_xlfn.COVARIANCE.S(I3:I65,K3:K65)*252</f>
        <v>-4.8820690609625381E-3</v>
      </c>
      <c r="S8" s="3">
        <f>_xlfn.COVARIANCE.S(I3:I65,L3:L65)*252</f>
        <v>-1.9308193361826794E-3</v>
      </c>
    </row>
    <row r="9" spans="1:27" x14ac:dyDescent="0.45">
      <c r="A9" s="1">
        <v>44342</v>
      </c>
      <c r="B9">
        <v>111.93105300000001</v>
      </c>
      <c r="C9">
        <v>250.551086</v>
      </c>
      <c r="D9">
        <v>225.562622</v>
      </c>
      <c r="E9">
        <v>58.080002</v>
      </c>
      <c r="F9">
        <v>241.36999499999999</v>
      </c>
      <c r="H9">
        <f t="shared" si="1"/>
        <v>1.9532937326947868E-3</v>
      </c>
      <c r="I9">
        <f t="shared" si="2"/>
        <v>-9.1371637161122591E-4</v>
      </c>
      <c r="J9">
        <f t="shared" si="3"/>
        <v>8.0337334683786808E-3</v>
      </c>
      <c r="K9">
        <f t="shared" si="4"/>
        <v>2.3255885245098092E-2</v>
      </c>
      <c r="L9">
        <f t="shared" si="5"/>
        <v>2.6168895360785269E-3</v>
      </c>
      <c r="O9" s="3">
        <f>_xlfn.COVARIANCE.S(H3:H65,J3:J65)*252</f>
        <v>3.8903689384727448E-3</v>
      </c>
      <c r="P9" s="3">
        <f>_xlfn.COVARIANCE.S(I3:I65,J3:J65)*252</f>
        <v>4.6281640282595281E-3</v>
      </c>
      <c r="Q9">
        <f>_xlfn.COVARIANCE.S(J3:J65,J3:J65)*252</f>
        <v>2.9114989398106195E-2</v>
      </c>
      <c r="R9" s="3">
        <f>_xlfn.COVARIANCE.S(J3:J65,K3:K65)*252</f>
        <v>1.1270862270187903E-2</v>
      </c>
      <c r="S9" s="4">
        <f>_xlfn.COVARIANCE.S(J3:J65,L3:L65)*252</f>
        <v>7.6406895517423358E-3</v>
      </c>
    </row>
    <row r="10" spans="1:27" x14ac:dyDescent="0.45">
      <c r="A10" s="1">
        <v>44343</v>
      </c>
      <c r="B10">
        <v>112.585686</v>
      </c>
      <c r="C10">
        <v>248.37922699999999</v>
      </c>
      <c r="D10">
        <v>225.82084699999999</v>
      </c>
      <c r="E10">
        <v>59.77</v>
      </c>
      <c r="F10">
        <v>250.699997</v>
      </c>
      <c r="H10">
        <f t="shared" si="1"/>
        <v>5.8485378494562163E-3</v>
      </c>
      <c r="I10">
        <f t="shared" si="2"/>
        <v>-8.6683280231322248E-3</v>
      </c>
      <c r="J10">
        <f t="shared" si="3"/>
        <v>1.1448040358388002E-3</v>
      </c>
      <c r="K10">
        <f t="shared" si="4"/>
        <v>2.9097760706000023E-2</v>
      </c>
      <c r="L10">
        <f t="shared" si="5"/>
        <v>3.8654357183045919E-2</v>
      </c>
      <c r="O10" s="3">
        <f>_xlfn.COVARIANCE.S(H3:H65,K3:K65)*252</f>
        <v>3.3441631966918007E-3</v>
      </c>
      <c r="P10">
        <f>_xlfn.COVARIANCE.S(I3:I65,K3:K65)*252</f>
        <v>-4.8820690609625381E-3</v>
      </c>
      <c r="Q10">
        <f>_xlfn.COVARIANCE.S(J3:J65,K3:K65)*252</f>
        <v>1.1270862270187903E-2</v>
      </c>
      <c r="R10">
        <f>_xlfn.COVARIANCE.S(K3:K65,K3:K65)*252</f>
        <v>0.11812966120678459</v>
      </c>
      <c r="S10">
        <f>_xlfn.COVARIANCE.S(K3:K65,L3:L65)*252</f>
        <v>4.641052712111373E-2</v>
      </c>
    </row>
    <row r="11" spans="1:27" x14ac:dyDescent="0.45">
      <c r="A11" s="1">
        <v>44344</v>
      </c>
      <c r="B11">
        <v>112.95266700000001</v>
      </c>
      <c r="C11">
        <v>248.74783300000001</v>
      </c>
      <c r="D11">
        <v>225.37391700000001</v>
      </c>
      <c r="E11">
        <v>59.310001</v>
      </c>
      <c r="F11">
        <v>247.020004</v>
      </c>
      <c r="H11">
        <f t="shared" si="1"/>
        <v>3.2595706704670237E-3</v>
      </c>
      <c r="I11">
        <f t="shared" si="2"/>
        <v>1.484045201574076E-3</v>
      </c>
      <c r="J11">
        <f t="shared" si="3"/>
        <v>-1.9791352567195913E-3</v>
      </c>
      <c r="K11">
        <f t="shared" si="4"/>
        <v>-7.6961519156768174E-3</v>
      </c>
      <c r="L11">
        <f t="shared" si="5"/>
        <v>-1.4678871336404508E-2</v>
      </c>
      <c r="O11">
        <f>_xlfn.COVARIANCE.S(H3:H65,L3:L65)*252</f>
        <v>7.3258068662313209E-3</v>
      </c>
      <c r="P11">
        <f>_xlfn.COVARIANCE.S(I3:I65,L3:L65)*252</f>
        <v>-1.9308193361826794E-3</v>
      </c>
      <c r="Q11">
        <f>_xlfn.COVARIANCE.S(J3:J65,L3:L65)*252</f>
        <v>7.6406895517423358E-3</v>
      </c>
      <c r="R11">
        <f>_xlfn.COVARIANCE.S(K3:K65,L3:L65)*252</f>
        <v>4.641052712111373E-2</v>
      </c>
      <c r="S11">
        <f>_xlfn.COVARIANCE.S(L3:L65,L3:L65)*252</f>
        <v>9.7005887857848305E-2</v>
      </c>
    </row>
    <row r="12" spans="1:27" x14ac:dyDescent="0.45">
      <c r="A12" s="1">
        <v>44348</v>
      </c>
      <c r="B12">
        <v>112.417068</v>
      </c>
      <c r="C12">
        <v>246.47633400000001</v>
      </c>
      <c r="D12">
        <v>225.721542</v>
      </c>
      <c r="E12">
        <v>59.650002000000001</v>
      </c>
      <c r="F12">
        <v>254.729996</v>
      </c>
      <c r="H12">
        <f t="shared" si="1"/>
        <v>-4.7418003861741907E-3</v>
      </c>
      <c r="I12">
        <f t="shared" si="2"/>
        <v>-9.1317338229837189E-3</v>
      </c>
      <c r="J12">
        <f t="shared" si="3"/>
        <v>1.5424366964345462E-3</v>
      </c>
      <c r="K12">
        <f t="shared" si="4"/>
        <v>5.7326082324632042E-3</v>
      </c>
      <c r="L12">
        <f t="shared" si="5"/>
        <v>3.1212014716022755E-2</v>
      </c>
    </row>
    <row r="13" spans="1:27" x14ac:dyDescent="0.45">
      <c r="A13" s="1">
        <v>44349</v>
      </c>
      <c r="B13">
        <v>112.07983400000001</v>
      </c>
      <c r="C13">
        <v>246.376724</v>
      </c>
      <c r="D13">
        <v>226.82397499999999</v>
      </c>
      <c r="E13">
        <v>59.650002000000001</v>
      </c>
      <c r="F13">
        <v>255.61999499999999</v>
      </c>
      <c r="H13">
        <f t="shared" si="1"/>
        <v>-2.9998469627405258E-3</v>
      </c>
      <c r="I13">
        <f t="shared" si="2"/>
        <v>-4.0413616343390045E-4</v>
      </c>
      <c r="J13">
        <f t="shared" si="3"/>
        <v>4.8840398228361861E-3</v>
      </c>
      <c r="K13">
        <f t="shared" si="4"/>
        <v>0</v>
      </c>
      <c r="L13">
        <f t="shared" si="5"/>
        <v>3.4938916263320199E-3</v>
      </c>
      <c r="N13" t="s">
        <v>21</v>
      </c>
      <c r="O13" t="s">
        <v>22</v>
      </c>
      <c r="P13" t="s">
        <v>23</v>
      </c>
      <c r="Q13" t="s">
        <v>24</v>
      </c>
      <c r="S13" t="s">
        <v>25</v>
      </c>
      <c r="U13" t="s">
        <v>26</v>
      </c>
      <c r="V13" cm="1">
        <f t="array" ref="V13">MMULT(TRANSPOSE(S14:S18),TRANSPOSE(O5:S5))</f>
        <v>0.64672808761389033</v>
      </c>
      <c r="W13" t="s">
        <v>27</v>
      </c>
      <c r="X13">
        <f>S14</f>
        <v>9.0870485583624164E-2</v>
      </c>
      <c r="Y13" t="s">
        <v>28</v>
      </c>
    </row>
    <row r="14" spans="1:27" x14ac:dyDescent="0.45">
      <c r="A14" s="1">
        <v>44350</v>
      </c>
      <c r="B14">
        <v>110.215149</v>
      </c>
      <c r="C14">
        <v>244.79267899999999</v>
      </c>
      <c r="D14">
        <v>227.618515</v>
      </c>
      <c r="E14">
        <v>63.459999000000003</v>
      </c>
      <c r="F14">
        <v>250.320007</v>
      </c>
      <c r="H14">
        <f t="shared" si="1"/>
        <v>-1.6637114219851614E-2</v>
      </c>
      <c r="I14">
        <f t="shared" si="2"/>
        <v>-6.4293614034741497E-3</v>
      </c>
      <c r="J14">
        <f t="shared" si="3"/>
        <v>3.502892496262849E-3</v>
      </c>
      <c r="K14">
        <f t="shared" si="4"/>
        <v>6.3872537674013866E-2</v>
      </c>
      <c r="L14">
        <f t="shared" si="5"/>
        <v>-2.0733855346487997E-2</v>
      </c>
      <c r="O14" cm="1">
        <f t="array" ref="O14">MMULT(MMULT(TRANSPOSE(U3:U7),MINVERSE(O7:S11)),U3:U7)</f>
        <v>87.320712744733285</v>
      </c>
      <c r="P14" cm="1">
        <f t="array" ref="P14">MMULT(MMULT(O5:S5,MINVERSE(O7:S11)),U3:U7)</f>
        <v>56.472757562483224</v>
      </c>
      <c r="Q14" cm="1">
        <f t="array" ref="Q14">MMULT(MMULT(O5:S5,MINVERSE(O7:S11)),TRANSPOSE(O5:S5))</f>
        <v>56.053778034893668</v>
      </c>
      <c r="S14" cm="1">
        <f t="array" ref="S14:S18">(1/O14)*MMULT(MINVERSE(O7:S11),U3:U7)</f>
        <v>9.0870485583624164E-2</v>
      </c>
      <c r="U14" t="s">
        <v>29</v>
      </c>
      <c r="V14" cm="1">
        <f t="array" ref="V14">SQRT(MMULT(MMULT(TRANSPOSE(S14:S18),O7:S11),S14:S18))</f>
        <v>0.10701418887032756</v>
      </c>
      <c r="W14" t="s">
        <v>30</v>
      </c>
      <c r="X14">
        <f>S15</f>
        <v>0.51913512069986567</v>
      </c>
    </row>
    <row r="15" spans="1:27" x14ac:dyDescent="0.45">
      <c r="A15" s="1">
        <v>44351</v>
      </c>
      <c r="B15">
        <v>111.078056</v>
      </c>
      <c r="C15">
        <v>249.85369900000001</v>
      </c>
      <c r="D15">
        <v>229.76379399999999</v>
      </c>
      <c r="E15">
        <v>63.369999</v>
      </c>
      <c r="F15">
        <v>249.91999799999999</v>
      </c>
      <c r="H15">
        <f t="shared" si="1"/>
        <v>7.8292957713100488E-3</v>
      </c>
      <c r="I15">
        <f t="shared" si="2"/>
        <v>2.0674719606300046E-2</v>
      </c>
      <c r="J15">
        <f t="shared" si="3"/>
        <v>9.424887953425002E-3</v>
      </c>
      <c r="K15">
        <f t="shared" si="4"/>
        <v>-1.4182162215288312E-3</v>
      </c>
      <c r="L15">
        <f t="shared" si="5"/>
        <v>-1.5979905273812627E-3</v>
      </c>
      <c r="O15" t="s">
        <v>31</v>
      </c>
      <c r="S15">
        <v>0.51913512069986567</v>
      </c>
      <c r="U15" t="s">
        <v>32</v>
      </c>
      <c r="V15">
        <f>P14/O14</f>
        <v>0.64672808761389045</v>
      </c>
      <c r="W15" t="s">
        <v>33</v>
      </c>
      <c r="X15">
        <f>S16</f>
        <v>0.25543573497147293</v>
      </c>
      <c r="Z15" t="s">
        <v>34</v>
      </c>
      <c r="AA15">
        <f>V13/V14</f>
        <v>6.0433863438197992</v>
      </c>
    </row>
    <row r="16" spans="1:27" x14ac:dyDescent="0.45">
      <c r="A16" s="1">
        <v>44354</v>
      </c>
      <c r="B16">
        <v>110.423439</v>
      </c>
      <c r="C16">
        <v>252.86241100000001</v>
      </c>
      <c r="D16">
        <v>229.31686400000001</v>
      </c>
      <c r="E16">
        <v>63.23</v>
      </c>
      <c r="F16">
        <v>252.66000399999999</v>
      </c>
      <c r="H16">
        <f t="shared" si="1"/>
        <v>-5.8933062350317129E-3</v>
      </c>
      <c r="I16">
        <f t="shared" si="2"/>
        <v>1.2041894965101168E-2</v>
      </c>
      <c r="J16">
        <f t="shared" si="3"/>
        <v>-1.9451715704171411E-3</v>
      </c>
      <c r="K16">
        <f t="shared" si="4"/>
        <v>-2.2092315324165161E-3</v>
      </c>
      <c r="L16">
        <f t="shared" si="5"/>
        <v>1.0963532418082022E-2</v>
      </c>
      <c r="O16">
        <f>O14*Q14-P14*P14</f>
        <v>1705.4835033309846</v>
      </c>
      <c r="S16">
        <v>0.25543573497147293</v>
      </c>
      <c r="W16" t="s">
        <v>35</v>
      </c>
      <c r="X16">
        <f>S17</f>
        <v>6.3563025217054536E-2</v>
      </c>
    </row>
    <row r="17" spans="1:27" x14ac:dyDescent="0.45">
      <c r="A17" s="1">
        <v>44355</v>
      </c>
      <c r="B17">
        <v>110.611885</v>
      </c>
      <c r="C17">
        <v>251.62706</v>
      </c>
      <c r="D17">
        <v>233.498199</v>
      </c>
      <c r="E17">
        <v>63.919998</v>
      </c>
      <c r="F17">
        <v>252.759995</v>
      </c>
      <c r="H17">
        <f t="shared" si="1"/>
        <v>1.7065760829999056E-3</v>
      </c>
      <c r="I17">
        <f t="shared" si="2"/>
        <v>-4.8854671404679776E-3</v>
      </c>
      <c r="J17">
        <f t="shared" si="3"/>
        <v>1.8233874853617351E-2</v>
      </c>
      <c r="K17">
        <f t="shared" si="4"/>
        <v>1.0912509884548519E-2</v>
      </c>
      <c r="L17">
        <f t="shared" si="5"/>
        <v>3.957531798345774E-4</v>
      </c>
      <c r="S17">
        <v>6.3563025217054536E-2</v>
      </c>
      <c r="W17" t="s">
        <v>36</v>
      </c>
      <c r="X17">
        <f>S18</f>
        <v>7.0995633527982646E-2</v>
      </c>
    </row>
    <row r="18" spans="1:27" x14ac:dyDescent="0.45">
      <c r="A18" s="1">
        <v>44356</v>
      </c>
      <c r="B18">
        <v>110.48294799999999</v>
      </c>
      <c r="C18">
        <v>252.64323400000001</v>
      </c>
      <c r="D18">
        <v>230.35972599999999</v>
      </c>
      <c r="E18">
        <v>62.77</v>
      </c>
      <c r="F18">
        <v>248.05999800000001</v>
      </c>
      <c r="H18">
        <f t="shared" si="1"/>
        <v>-1.1656703978962805E-3</v>
      </c>
      <c r="I18">
        <f t="shared" si="2"/>
        <v>4.0384130387248751E-3</v>
      </c>
      <c r="J18">
        <f t="shared" si="3"/>
        <v>-1.3441101530723176E-2</v>
      </c>
      <c r="K18">
        <f t="shared" si="4"/>
        <v>-1.7991208322628491E-2</v>
      </c>
      <c r="L18">
        <f t="shared" si="5"/>
        <v>-1.8594702852403507E-2</v>
      </c>
      <c r="S18">
        <v>7.0995633527982646E-2</v>
      </c>
    </row>
    <row r="19" spans="1:27" x14ac:dyDescent="0.45">
      <c r="A19" s="1">
        <v>44357</v>
      </c>
      <c r="B19">
        <v>111.296272</v>
      </c>
      <c r="C19">
        <v>256.27960200000001</v>
      </c>
      <c r="D19">
        <v>230.08163500000001</v>
      </c>
      <c r="E19">
        <v>61.34</v>
      </c>
      <c r="F19">
        <v>248.33999600000001</v>
      </c>
      <c r="H19">
        <f t="shared" si="1"/>
        <v>7.3615341980194865E-3</v>
      </c>
      <c r="I19">
        <f t="shared" si="2"/>
        <v>1.439329263810803E-2</v>
      </c>
      <c r="J19">
        <f t="shared" si="3"/>
        <v>-1.2072032070397116E-3</v>
      </c>
      <c r="K19">
        <f t="shared" si="4"/>
        <v>-2.2781583559025008E-2</v>
      </c>
      <c r="L19">
        <f t="shared" si="5"/>
        <v>1.1287511177034122E-3</v>
      </c>
      <c r="R19" t="s">
        <v>37</v>
      </c>
      <c r="S19">
        <f>SUM(S14:S18)</f>
        <v>1</v>
      </c>
    </row>
    <row r="20" spans="1:27" x14ac:dyDescent="0.45">
      <c r="A20" s="1">
        <v>44358</v>
      </c>
      <c r="B20">
        <v>111.643417</v>
      </c>
      <c r="C20">
        <v>256.92721599999999</v>
      </c>
      <c r="D20">
        <v>231.35290499999999</v>
      </c>
      <c r="E20">
        <v>61.490001999999997</v>
      </c>
      <c r="F20">
        <v>247.279999</v>
      </c>
      <c r="H20">
        <f t="shared" si="1"/>
        <v>3.1191071700945885E-3</v>
      </c>
      <c r="I20">
        <f t="shared" si="2"/>
        <v>2.5269822293542345E-3</v>
      </c>
      <c r="J20">
        <f t="shared" si="3"/>
        <v>5.5252997485000788E-3</v>
      </c>
      <c r="K20">
        <f t="shared" si="4"/>
        <v>2.4454189761981336E-3</v>
      </c>
      <c r="L20">
        <f t="shared" si="5"/>
        <v>-4.2683297780193646E-3</v>
      </c>
    </row>
    <row r="21" spans="1:27" x14ac:dyDescent="0.45">
      <c r="A21" s="1">
        <v>44361</v>
      </c>
      <c r="B21">
        <v>111.534317</v>
      </c>
      <c r="C21">
        <v>258.91973899999999</v>
      </c>
      <c r="D21">
        <v>231.48202499999999</v>
      </c>
      <c r="E21">
        <v>60.790000999999997</v>
      </c>
      <c r="F21">
        <v>245.13999899999999</v>
      </c>
      <c r="H21">
        <f t="shared" si="1"/>
        <v>-9.7721838807565318E-4</v>
      </c>
      <c r="I21">
        <f t="shared" si="2"/>
        <v>7.755204104184921E-3</v>
      </c>
      <c r="J21">
        <f t="shared" si="3"/>
        <v>5.5810840153487737E-4</v>
      </c>
      <c r="K21">
        <f t="shared" si="4"/>
        <v>-1.1383980764872969E-2</v>
      </c>
      <c r="L21">
        <f t="shared" si="5"/>
        <v>-8.6541572656671471E-3</v>
      </c>
      <c r="N21" t="s">
        <v>38</v>
      </c>
      <c r="O21" t="s">
        <v>39</v>
      </c>
      <c r="P21">
        <f>(O14)*(Q14 - 0.01*P14)*(1/O16)</f>
        <v>2.8410379966551251</v>
      </c>
      <c r="S21" t="s">
        <v>40</v>
      </c>
      <c r="U21" t="s">
        <v>26</v>
      </c>
      <c r="V21" cm="1">
        <f t="array" ref="V21">MMULT(TRANSPOSE(X21:X25),TRANSPOSE(O5:S5))</f>
        <v>1.0000000000000194E-2</v>
      </c>
      <c r="W21" t="s">
        <v>27</v>
      </c>
      <c r="X21">
        <f>P21*S14 +(1-P21)*S22</f>
        <v>0.76252737617833799</v>
      </c>
    </row>
    <row r="22" spans="1:27" x14ac:dyDescent="0.45">
      <c r="A22" s="1">
        <v>44362</v>
      </c>
      <c r="B22">
        <v>110.978874</v>
      </c>
      <c r="C22">
        <v>257.39541600000001</v>
      </c>
      <c r="D22">
        <v>230.985443</v>
      </c>
      <c r="E22">
        <v>60.810001</v>
      </c>
      <c r="F22">
        <v>246.53999300000001</v>
      </c>
      <c r="H22">
        <f t="shared" si="1"/>
        <v>-4.980018840300038E-3</v>
      </c>
      <c r="I22">
        <f t="shared" si="2"/>
        <v>-5.8872413740536844E-3</v>
      </c>
      <c r="J22">
        <f t="shared" si="3"/>
        <v>-2.1452292030017858E-3</v>
      </c>
      <c r="K22">
        <f t="shared" si="4"/>
        <v>3.2900147509461511E-4</v>
      </c>
      <c r="L22">
        <f t="shared" si="5"/>
        <v>5.7109978204740912E-3</v>
      </c>
      <c r="S22" cm="1">
        <f t="array" ref="S22:S26">(1/P14)*MMULT(MINVERSE(O7:S11),TRANSPOSE(O5:S5))</f>
        <v>-0.2739546249328389</v>
      </c>
      <c r="U22" t="s">
        <v>29</v>
      </c>
      <c r="V22" cm="1">
        <f t="array" ref="V22">SQRT(MMULT(MMULT(TRANSPOSE(X21:X25),O7:S11),X21:X25))</f>
        <v>0.17947051722658416</v>
      </c>
      <c r="W22" t="s">
        <v>30</v>
      </c>
      <c r="X22">
        <f>P21*S15+(1-P21)*S23</f>
        <v>-1.5099637519311315E-3</v>
      </c>
    </row>
    <row r="23" spans="1:27" x14ac:dyDescent="0.45">
      <c r="A23" s="1">
        <v>44363</v>
      </c>
      <c r="B23">
        <v>110.453194</v>
      </c>
      <c r="C23">
        <v>256.41909800000002</v>
      </c>
      <c r="D23">
        <v>229.68434099999999</v>
      </c>
      <c r="E23">
        <v>61.759998000000003</v>
      </c>
      <c r="F23">
        <v>242.270004</v>
      </c>
      <c r="H23">
        <f t="shared" si="1"/>
        <v>-4.7367573760030068E-3</v>
      </c>
      <c r="I23">
        <f t="shared" si="2"/>
        <v>-3.7930667731860151E-3</v>
      </c>
      <c r="J23">
        <f t="shared" si="3"/>
        <v>-5.6328311563773065E-3</v>
      </c>
      <c r="K23">
        <f t="shared" si="4"/>
        <v>1.5622380930399974E-2</v>
      </c>
      <c r="L23">
        <f t="shared" si="5"/>
        <v>-1.7319660587481276E-2</v>
      </c>
      <c r="S23">
        <v>0.80193487029641208</v>
      </c>
      <c r="W23" t="s">
        <v>33</v>
      </c>
      <c r="X23">
        <f>P21*S16+(1-P21)*S24</f>
        <v>-0.16457106787818554</v>
      </c>
      <c r="Z23" t="s">
        <v>34</v>
      </c>
      <c r="AA23">
        <f>(V21-0.01)/V22</f>
        <v>1.0825679466009989E-15</v>
      </c>
    </row>
    <row r="24" spans="1:27" x14ac:dyDescent="0.45">
      <c r="A24" s="1">
        <v>44364</v>
      </c>
      <c r="B24">
        <v>110.48294799999999</v>
      </c>
      <c r="C24">
        <v>259.92596400000002</v>
      </c>
      <c r="D24">
        <v>229.644623</v>
      </c>
      <c r="E24">
        <v>60.080002</v>
      </c>
      <c r="F24">
        <v>239.220001</v>
      </c>
      <c r="H24">
        <f t="shared" si="1"/>
        <v>2.6938107376050119E-4</v>
      </c>
      <c r="I24">
        <f t="shared" si="2"/>
        <v>1.3676305810887775E-2</v>
      </c>
      <c r="J24">
        <f t="shared" si="3"/>
        <v>-1.7292428307070999E-4</v>
      </c>
      <c r="K24">
        <f t="shared" si="4"/>
        <v>-2.720200865291483E-2</v>
      </c>
      <c r="L24">
        <f t="shared" si="5"/>
        <v>-1.2589272091645336E-2</v>
      </c>
      <c r="S24">
        <v>0.48357160376545999</v>
      </c>
      <c r="W24" t="s">
        <v>35</v>
      </c>
      <c r="X24">
        <f>P21*S17+(1-P21)*S25</f>
        <v>0.25915491728003542</v>
      </c>
    </row>
    <row r="25" spans="1:27" x14ac:dyDescent="0.45">
      <c r="A25" s="1">
        <v>44365</v>
      </c>
      <c r="B25">
        <v>108.806702</v>
      </c>
      <c r="C25">
        <v>258.46142600000002</v>
      </c>
      <c r="D25">
        <v>228.95931999999999</v>
      </c>
      <c r="E25">
        <v>58.759998000000003</v>
      </c>
      <c r="F25">
        <v>237.35000600000001</v>
      </c>
      <c r="H25">
        <f t="shared" si="1"/>
        <v>-1.5171988350636625E-2</v>
      </c>
      <c r="I25">
        <f t="shared" si="2"/>
        <v>-5.6344428908225745E-3</v>
      </c>
      <c r="J25">
        <f t="shared" si="3"/>
        <v>-2.9841891834759167E-3</v>
      </c>
      <c r="K25">
        <f t="shared" si="4"/>
        <v>-2.1970771572211289E-2</v>
      </c>
      <c r="L25">
        <f t="shared" si="5"/>
        <v>-7.8170512172181985E-3</v>
      </c>
      <c r="S25">
        <v>-4.2676983092573194E-2</v>
      </c>
      <c r="W25" t="s">
        <v>36</v>
      </c>
      <c r="X25">
        <f>P21*S18+(1-P21)*S26</f>
        <v>0.14439873817174295</v>
      </c>
    </row>
    <row r="26" spans="1:27" x14ac:dyDescent="0.45">
      <c r="A26" s="1">
        <v>44368</v>
      </c>
      <c r="B26">
        <v>110.066368</v>
      </c>
      <c r="C26">
        <v>261.649475</v>
      </c>
      <c r="D26">
        <v>232.17726099999999</v>
      </c>
      <c r="E26">
        <v>59.299999</v>
      </c>
      <c r="F26">
        <v>245.279999</v>
      </c>
      <c r="H26">
        <f t="shared" si="1"/>
        <v>1.1577099359192008E-2</v>
      </c>
      <c r="I26">
        <f t="shared" si="2"/>
        <v>1.2334718759928138E-2</v>
      </c>
      <c r="J26">
        <f t="shared" si="3"/>
        <v>1.405464079819942E-2</v>
      </c>
      <c r="K26">
        <f t="shared" si="4"/>
        <v>9.1899424503043142E-3</v>
      </c>
      <c r="L26">
        <f t="shared" si="5"/>
        <v>3.3410544763162957E-2</v>
      </c>
      <c r="P26">
        <f>SUM(X21:X25)</f>
        <v>0.99999999999999967</v>
      </c>
      <c r="S26">
        <v>3.1125133963540122E-2</v>
      </c>
    </row>
    <row r="27" spans="1:27" x14ac:dyDescent="0.45">
      <c r="A27" s="1">
        <v>44369</v>
      </c>
      <c r="B27">
        <v>110.939201</v>
      </c>
      <c r="C27">
        <v>264.51873799999998</v>
      </c>
      <c r="D27">
        <v>235.59382600000001</v>
      </c>
      <c r="E27">
        <v>59.240001999999997</v>
      </c>
      <c r="F27">
        <v>243.779999</v>
      </c>
      <c r="H27">
        <f t="shared" si="1"/>
        <v>7.9300608883541967E-3</v>
      </c>
      <c r="I27">
        <f t="shared" si="2"/>
        <v>1.0966056782647813E-2</v>
      </c>
      <c r="J27">
        <f t="shared" si="3"/>
        <v>1.4715329939222687E-2</v>
      </c>
      <c r="K27">
        <f t="shared" si="4"/>
        <v>-1.0117538113281039E-3</v>
      </c>
      <c r="L27">
        <f t="shared" si="5"/>
        <v>-6.1154599075157363E-3</v>
      </c>
      <c r="R27" t="s">
        <v>37</v>
      </c>
      <c r="S27">
        <f>SUM(S22:S26)</f>
        <v>1.0000000000000002</v>
      </c>
    </row>
    <row r="28" spans="1:27" x14ac:dyDescent="0.45">
      <c r="A28" s="1">
        <v>44370</v>
      </c>
      <c r="B28">
        <v>110.65155799999999</v>
      </c>
      <c r="C28">
        <v>264.27960200000001</v>
      </c>
      <c r="D28">
        <v>235.69313</v>
      </c>
      <c r="E28">
        <v>60.119999</v>
      </c>
      <c r="F28">
        <v>243.570007</v>
      </c>
      <c r="H28">
        <f t="shared" si="1"/>
        <v>-2.5927985545884974E-3</v>
      </c>
      <c r="I28">
        <f t="shared" si="2"/>
        <v>-9.0404181498844746E-4</v>
      </c>
      <c r="J28">
        <f t="shared" si="3"/>
        <v>4.2150510344863364E-4</v>
      </c>
      <c r="K28">
        <f t="shared" si="4"/>
        <v>1.4854776676071062E-2</v>
      </c>
      <c r="L28">
        <f t="shared" si="5"/>
        <v>-8.6139962614406173E-4</v>
      </c>
    </row>
    <row r="29" spans="1:27" x14ac:dyDescent="0.45">
      <c r="A29" s="1">
        <v>44371</v>
      </c>
      <c r="B29">
        <v>111.078056</v>
      </c>
      <c r="C29">
        <v>265.69433600000002</v>
      </c>
      <c r="D29">
        <v>238.20588699999999</v>
      </c>
      <c r="E29">
        <v>60.040000999999997</v>
      </c>
      <c r="F29">
        <v>250.570007</v>
      </c>
      <c r="H29">
        <f t="shared" si="1"/>
        <v>3.8544238120895632E-3</v>
      </c>
      <c r="I29">
        <f t="shared" si="2"/>
        <v>5.3531713734002442E-3</v>
      </c>
      <c r="J29">
        <f t="shared" si="3"/>
        <v>1.0661138065415795E-2</v>
      </c>
      <c r="K29">
        <f t="shared" si="4"/>
        <v>-1.3306387446879921E-3</v>
      </c>
      <c r="L29">
        <f t="shared" si="5"/>
        <v>2.8739170664801927E-2</v>
      </c>
      <c r="N29" t="s">
        <v>41</v>
      </c>
      <c r="U29" t="s">
        <v>26</v>
      </c>
      <c r="V29" cm="1">
        <f t="array" ref="V29">MMULT(TRANSPOSE(S22:S26),TRANSPOSE(O5:S5))</f>
        <v>0.99258085587327671</v>
      </c>
      <c r="W29" t="s">
        <v>27</v>
      </c>
      <c r="X29">
        <f>S22</f>
        <v>-0.2739546249328389</v>
      </c>
      <c r="Y29" t="s">
        <v>42</v>
      </c>
    </row>
    <row r="30" spans="1:27" x14ac:dyDescent="0.45">
      <c r="A30" s="1">
        <v>44372</v>
      </c>
      <c r="B30">
        <v>112.119514</v>
      </c>
      <c r="C30">
        <v>264.03054800000001</v>
      </c>
      <c r="D30">
        <v>238.911057</v>
      </c>
      <c r="E30">
        <v>60.299999</v>
      </c>
      <c r="F30">
        <v>248.38000500000001</v>
      </c>
      <c r="H30">
        <f t="shared" si="1"/>
        <v>9.3759112961068706E-3</v>
      </c>
      <c r="I30">
        <f t="shared" si="2"/>
        <v>-6.2620378930471846E-3</v>
      </c>
      <c r="J30">
        <f t="shared" si="3"/>
        <v>2.9603382556200623E-3</v>
      </c>
      <c r="K30">
        <f t="shared" si="4"/>
        <v>4.3304129858359438E-3</v>
      </c>
      <c r="L30">
        <f t="shared" si="5"/>
        <v>-8.740080372029493E-3</v>
      </c>
      <c r="U30" t="s">
        <v>29</v>
      </c>
      <c r="V30" cm="1">
        <f t="array" ref="V30">SQRT(MMULT(MMULT(TRANSPOSE(S22:S26),O7:S11),S22:S26))</f>
        <v>0.13257555378130878</v>
      </c>
      <c r="W30" t="s">
        <v>30</v>
      </c>
      <c r="X30">
        <f>S23</f>
        <v>0.80193487029641208</v>
      </c>
    </row>
    <row r="31" spans="1:27" x14ac:dyDescent="0.45">
      <c r="A31" s="1">
        <v>44375</v>
      </c>
      <c r="B31">
        <v>111.326027</v>
      </c>
      <c r="C31">
        <v>267.71676600000001</v>
      </c>
      <c r="D31">
        <v>239.61621099999999</v>
      </c>
      <c r="E31">
        <v>58.639999000000003</v>
      </c>
      <c r="F31">
        <v>239.96000699999999</v>
      </c>
      <c r="H31">
        <f t="shared" si="1"/>
        <v>-7.0771534025736056E-3</v>
      </c>
      <c r="I31">
        <f t="shared" si="2"/>
        <v>1.3961331474417107E-2</v>
      </c>
      <c r="J31">
        <f t="shared" si="3"/>
        <v>2.9515335491567189E-3</v>
      </c>
      <c r="K31">
        <f t="shared" si="4"/>
        <v>-2.752902201540661E-2</v>
      </c>
      <c r="L31">
        <f t="shared" si="5"/>
        <v>-3.3899661126104014E-2</v>
      </c>
      <c r="U31" t="s">
        <v>43</v>
      </c>
      <c r="V31" s="3">
        <f>SQRT(Q14/(P14*P14))</f>
        <v>0.13257555378130881</v>
      </c>
      <c r="W31" t="s">
        <v>33</v>
      </c>
      <c r="X31">
        <f>S24</f>
        <v>0.48357160376545999</v>
      </c>
      <c r="Z31" t="s">
        <v>34</v>
      </c>
      <c r="AA31">
        <f>V29/V30</f>
        <v>7.4869071074038098</v>
      </c>
    </row>
    <row r="32" spans="1:27" x14ac:dyDescent="0.45">
      <c r="A32" s="1">
        <v>44376</v>
      </c>
      <c r="B32">
        <v>111.355782</v>
      </c>
      <c r="C32">
        <v>270.38671900000003</v>
      </c>
      <c r="D32">
        <v>240.20220900000001</v>
      </c>
      <c r="E32">
        <v>58.830002</v>
      </c>
      <c r="F32">
        <v>235.759995</v>
      </c>
      <c r="H32">
        <f t="shared" si="1"/>
        <v>2.6727801936207279E-4</v>
      </c>
      <c r="I32">
        <f t="shared" si="2"/>
        <v>9.9730511461505588E-3</v>
      </c>
      <c r="J32">
        <f t="shared" si="3"/>
        <v>2.4455690938206924E-3</v>
      </c>
      <c r="K32">
        <f t="shared" si="4"/>
        <v>3.2401603553915007E-3</v>
      </c>
      <c r="L32">
        <f t="shared" si="5"/>
        <v>-1.7502966650605186E-2</v>
      </c>
      <c r="U32" t="s">
        <v>32</v>
      </c>
      <c r="V32" s="3">
        <f>Q14/P14</f>
        <v>0.99258085587327682</v>
      </c>
      <c r="W32" t="s">
        <v>35</v>
      </c>
      <c r="X32">
        <f>S25</f>
        <v>-4.2676983092573194E-2</v>
      </c>
    </row>
    <row r="33" spans="1:24" x14ac:dyDescent="0.45">
      <c r="A33" s="1">
        <v>44377</v>
      </c>
      <c r="B33">
        <v>110.899529</v>
      </c>
      <c r="C33">
        <v>269.88861100000003</v>
      </c>
      <c r="D33">
        <v>240.092941</v>
      </c>
      <c r="E33">
        <v>59.169998</v>
      </c>
      <c r="F33">
        <v>239.55999800000001</v>
      </c>
      <c r="H33">
        <f t="shared" si="1"/>
        <v>-4.0972546894781246E-3</v>
      </c>
      <c r="I33">
        <f t="shared" si="2"/>
        <v>-1.8422058666276503E-3</v>
      </c>
      <c r="J33">
        <f t="shared" si="3"/>
        <v>-4.549000629715872E-4</v>
      </c>
      <c r="K33">
        <f t="shared" si="4"/>
        <v>5.7792960809350188E-3</v>
      </c>
      <c r="L33">
        <f t="shared" si="5"/>
        <v>1.611809925598278E-2</v>
      </c>
      <c r="W33" t="s">
        <v>36</v>
      </c>
      <c r="X33">
        <f>S26</f>
        <v>3.1125133963540122E-2</v>
      </c>
    </row>
    <row r="34" spans="1:24" x14ac:dyDescent="0.45">
      <c r="A34" s="1">
        <v>44378</v>
      </c>
      <c r="B34">
        <v>112.486496</v>
      </c>
      <c r="C34">
        <v>270.58599900000002</v>
      </c>
      <c r="D34">
        <v>241.81115700000001</v>
      </c>
      <c r="E34">
        <v>59.110000999999997</v>
      </c>
      <c r="F34">
        <v>239.729996</v>
      </c>
      <c r="H34">
        <f t="shared" si="1"/>
        <v>1.4309952569771521E-2</v>
      </c>
      <c r="I34">
        <f t="shared" si="2"/>
        <v>2.5839845461281411E-3</v>
      </c>
      <c r="J34">
        <f t="shared" si="3"/>
        <v>7.1564619636193816E-3</v>
      </c>
      <c r="K34">
        <f t="shared" si="4"/>
        <v>-1.0139767116436737E-3</v>
      </c>
      <c r="L34">
        <f t="shared" si="5"/>
        <v>7.0962598688948286E-4</v>
      </c>
    </row>
    <row r="35" spans="1:24" x14ac:dyDescent="0.45">
      <c r="A35" s="1">
        <v>44379</v>
      </c>
      <c r="B35">
        <v>114.03379099999999</v>
      </c>
      <c r="C35">
        <v>276.61340300000001</v>
      </c>
      <c r="D35">
        <v>244.89996300000001</v>
      </c>
      <c r="E35">
        <v>58.959999000000003</v>
      </c>
      <c r="F35">
        <v>236.679993</v>
      </c>
      <c r="H35">
        <f t="shared" si="1"/>
        <v>1.3755384468549818E-2</v>
      </c>
      <c r="I35">
        <f t="shared" si="2"/>
        <v>2.2275372791923317E-2</v>
      </c>
      <c r="J35">
        <f t="shared" si="3"/>
        <v>1.2773628968658402E-2</v>
      </c>
      <c r="K35">
        <f t="shared" si="4"/>
        <v>-2.5376754772850289E-3</v>
      </c>
      <c r="L35">
        <f t="shared" si="5"/>
        <v>-1.272265903679406E-2</v>
      </c>
    </row>
    <row r="36" spans="1:24" x14ac:dyDescent="0.45">
      <c r="A36" s="1">
        <v>44383</v>
      </c>
      <c r="B36">
        <v>114.78761299999999</v>
      </c>
      <c r="C36">
        <v>276.62338299999999</v>
      </c>
      <c r="D36">
        <v>243.77766399999999</v>
      </c>
      <c r="E36">
        <v>57.459999000000003</v>
      </c>
      <c r="F36">
        <v>236.13999899999999</v>
      </c>
      <c r="H36">
        <f t="shared" si="1"/>
        <v>6.6105142466060746E-3</v>
      </c>
      <c r="I36">
        <f t="shared" si="2"/>
        <v>3.6079235104831692E-5</v>
      </c>
      <c r="J36">
        <f t="shared" si="3"/>
        <v>-4.5826834200053618E-3</v>
      </c>
      <c r="K36">
        <f t="shared" si="4"/>
        <v>-2.544097736500979E-2</v>
      </c>
      <c r="L36">
        <f t="shared" si="5"/>
        <v>-2.2815363189570789E-3</v>
      </c>
    </row>
    <row r="37" spans="1:24" x14ac:dyDescent="0.45">
      <c r="A37" s="1">
        <v>44384</v>
      </c>
      <c r="B37">
        <v>116.18611900000001</v>
      </c>
      <c r="C37">
        <v>278.88488799999999</v>
      </c>
      <c r="D37">
        <v>245.86335800000001</v>
      </c>
      <c r="E37">
        <v>56.59</v>
      </c>
      <c r="F37">
        <v>231.779999</v>
      </c>
      <c r="H37">
        <f t="shared" si="1"/>
        <v>1.2183422613727598E-2</v>
      </c>
      <c r="I37">
        <f t="shared" si="2"/>
        <v>8.175393473515577E-3</v>
      </c>
      <c r="J37">
        <f t="shared" si="3"/>
        <v>8.5557223158887023E-3</v>
      </c>
      <c r="K37">
        <f t="shared" si="4"/>
        <v>-1.5140950489748528E-2</v>
      </c>
      <c r="L37">
        <f t="shared" si="5"/>
        <v>-1.8463623352518034E-2</v>
      </c>
    </row>
    <row r="38" spans="1:24" x14ac:dyDescent="0.45">
      <c r="A38" s="1">
        <v>44385</v>
      </c>
      <c r="B38">
        <v>115.045486</v>
      </c>
      <c r="C38">
        <v>276.384277</v>
      </c>
      <c r="D38">
        <v>246.886337</v>
      </c>
      <c r="E38">
        <v>56.060001</v>
      </c>
      <c r="F38">
        <v>236.770004</v>
      </c>
      <c r="H38">
        <f t="shared" si="1"/>
        <v>-9.8172915131110299E-3</v>
      </c>
      <c r="I38">
        <f t="shared" si="2"/>
        <v>-8.9664628941816035E-3</v>
      </c>
      <c r="J38">
        <f t="shared" si="3"/>
        <v>4.1607623369399856E-3</v>
      </c>
      <c r="K38">
        <f t="shared" si="4"/>
        <v>-9.3655946280262175E-3</v>
      </c>
      <c r="L38">
        <f t="shared" si="5"/>
        <v>2.1529057820040789E-2</v>
      </c>
    </row>
    <row r="39" spans="1:24" x14ac:dyDescent="0.45">
      <c r="A39" s="1">
        <v>44386</v>
      </c>
      <c r="B39">
        <v>116.513443</v>
      </c>
      <c r="C39">
        <v>276.90234400000003</v>
      </c>
      <c r="D39">
        <v>246.886337</v>
      </c>
      <c r="E39">
        <v>58.759998000000003</v>
      </c>
      <c r="F39">
        <v>239.58999600000001</v>
      </c>
      <c r="H39">
        <f t="shared" si="1"/>
        <v>1.2759796590367731E-2</v>
      </c>
      <c r="I39">
        <f t="shared" si="2"/>
        <v>1.8744445437467142E-3</v>
      </c>
      <c r="J39">
        <f t="shared" si="3"/>
        <v>0</v>
      </c>
      <c r="K39">
        <f t="shared" si="4"/>
        <v>4.8162628466596052E-2</v>
      </c>
      <c r="L39">
        <f t="shared" si="5"/>
        <v>1.1910258699830969E-2</v>
      </c>
    </row>
    <row r="40" spans="1:24" x14ac:dyDescent="0.45">
      <c r="A40" s="1">
        <v>44389</v>
      </c>
      <c r="B40">
        <v>117.495369</v>
      </c>
      <c r="C40">
        <v>276.28463699999998</v>
      </c>
      <c r="D40">
        <v>250.521423</v>
      </c>
      <c r="E40">
        <v>58.970001000000003</v>
      </c>
      <c r="F40">
        <v>238.28999300000001</v>
      </c>
      <c r="H40">
        <f t="shared" si="1"/>
        <v>8.4275768934233743E-3</v>
      </c>
      <c r="I40">
        <f t="shared" si="2"/>
        <v>-2.2307756268038401E-3</v>
      </c>
      <c r="J40">
        <f t="shared" si="3"/>
        <v>1.4723722844168575E-2</v>
      </c>
      <c r="K40">
        <f t="shared" si="4"/>
        <v>3.5739109453339392E-3</v>
      </c>
      <c r="L40">
        <f t="shared" si="5"/>
        <v>-5.4259485859334614E-3</v>
      </c>
    </row>
    <row r="41" spans="1:24" x14ac:dyDescent="0.45">
      <c r="A41" s="1">
        <v>44390</v>
      </c>
      <c r="B41">
        <v>118.5765</v>
      </c>
      <c r="C41">
        <v>279.93099999999998</v>
      </c>
      <c r="D41">
        <v>250.03474399999999</v>
      </c>
      <c r="E41">
        <v>58.73</v>
      </c>
      <c r="F41">
        <v>228.199997</v>
      </c>
      <c r="H41">
        <f t="shared" si="1"/>
        <v>9.2014775492981274E-3</v>
      </c>
      <c r="I41">
        <f t="shared" si="2"/>
        <v>1.319784928902872E-2</v>
      </c>
      <c r="J41">
        <f t="shared" si="3"/>
        <v>-1.9426642008177058E-3</v>
      </c>
      <c r="K41">
        <f t="shared" si="4"/>
        <v>-4.0698829223354861E-3</v>
      </c>
      <c r="L41">
        <f t="shared" si="5"/>
        <v>-4.2343347586568658E-2</v>
      </c>
    </row>
    <row r="42" spans="1:24" x14ac:dyDescent="0.45">
      <c r="A42" s="1">
        <v>44391</v>
      </c>
      <c r="B42">
        <v>118.82446299999999</v>
      </c>
      <c r="C42">
        <v>281.45529199999999</v>
      </c>
      <c r="D42">
        <v>251.90193199999999</v>
      </c>
      <c r="E42">
        <v>58</v>
      </c>
      <c r="F42">
        <v>224.449997</v>
      </c>
      <c r="H42">
        <f t="shared" si="1"/>
        <v>2.0911647754824829E-3</v>
      </c>
      <c r="I42">
        <f t="shared" si="2"/>
        <v>5.4452418631734346E-3</v>
      </c>
      <c r="J42">
        <f t="shared" si="3"/>
        <v>7.4677141669559285E-3</v>
      </c>
      <c r="K42">
        <f t="shared" si="4"/>
        <v>-1.2429763323684607E-2</v>
      </c>
      <c r="L42">
        <f t="shared" si="5"/>
        <v>-1.6432953765551539E-2</v>
      </c>
    </row>
    <row r="43" spans="1:24" x14ac:dyDescent="0.45">
      <c r="A43" s="1">
        <v>44392</v>
      </c>
      <c r="B43">
        <v>118.001221</v>
      </c>
      <c r="C43">
        <v>279.980774</v>
      </c>
      <c r="D43">
        <v>251.20669599999999</v>
      </c>
      <c r="E43">
        <v>56.950001</v>
      </c>
      <c r="F43">
        <v>222.759995</v>
      </c>
      <c r="H43">
        <f t="shared" si="1"/>
        <v>-6.9282198228827127E-3</v>
      </c>
      <c r="I43">
        <f t="shared" si="2"/>
        <v>-5.2389066466726414E-3</v>
      </c>
      <c r="J43">
        <f t="shared" si="3"/>
        <v>-2.7599470733713715E-3</v>
      </c>
      <c r="K43">
        <f t="shared" si="4"/>
        <v>-1.8103431034482753E-2</v>
      </c>
      <c r="L43">
        <f t="shared" si="5"/>
        <v>-7.5295256074340367E-3</v>
      </c>
    </row>
    <row r="44" spans="1:24" x14ac:dyDescent="0.45">
      <c r="A44" s="1">
        <v>44393</v>
      </c>
      <c r="B44">
        <v>117.763184</v>
      </c>
      <c r="C44">
        <v>279.701843</v>
      </c>
      <c r="D44">
        <v>249.438828</v>
      </c>
      <c r="E44">
        <v>55.459999000000003</v>
      </c>
      <c r="F44">
        <v>217.740005</v>
      </c>
      <c r="H44">
        <f t="shared" si="1"/>
        <v>-2.0172418385400064E-3</v>
      </c>
      <c r="I44">
        <f t="shared" si="2"/>
        <v>-9.9625054968952996E-4</v>
      </c>
      <c r="J44">
        <f t="shared" si="3"/>
        <v>-7.037503490750871E-3</v>
      </c>
      <c r="K44">
        <f t="shared" si="4"/>
        <v>-2.6163335800468149E-2</v>
      </c>
      <c r="L44">
        <f t="shared" si="5"/>
        <v>-2.2535419791152388E-2</v>
      </c>
    </row>
    <row r="45" spans="1:24" x14ac:dyDescent="0.45">
      <c r="A45" s="1">
        <v>44396</v>
      </c>
      <c r="B45">
        <v>114.380943</v>
      </c>
      <c r="C45">
        <v>275.97582999999997</v>
      </c>
      <c r="D45">
        <v>249.409042</v>
      </c>
      <c r="E45">
        <v>54.18</v>
      </c>
      <c r="F45">
        <v>206.990005</v>
      </c>
      <c r="H45">
        <f t="shared" si="1"/>
        <v>-2.8720699331634864E-2</v>
      </c>
      <c r="I45">
        <f t="shared" si="2"/>
        <v>-1.3321374503778379E-2</v>
      </c>
      <c r="J45">
        <f t="shared" si="3"/>
        <v>-1.194120427794883E-4</v>
      </c>
      <c r="K45">
        <f t="shared" si="4"/>
        <v>-2.307967946411257E-2</v>
      </c>
      <c r="L45">
        <f t="shared" si="5"/>
        <v>-4.9370808088297788E-2</v>
      </c>
    </row>
    <row r="46" spans="1:24" x14ac:dyDescent="0.45">
      <c r="A46" s="1">
        <v>44397</v>
      </c>
      <c r="B46">
        <v>116.46384399999999</v>
      </c>
      <c r="C46">
        <v>278.27719100000002</v>
      </c>
      <c r="D46">
        <v>252.97457900000001</v>
      </c>
      <c r="E46">
        <v>56.150002000000001</v>
      </c>
      <c r="F46">
        <v>217.14999399999999</v>
      </c>
      <c r="H46">
        <f t="shared" si="1"/>
        <v>1.8210210069696597E-2</v>
      </c>
      <c r="I46">
        <f t="shared" si="2"/>
        <v>8.3389947590701789E-3</v>
      </c>
      <c r="J46">
        <f t="shared" si="3"/>
        <v>1.4295941203286472E-2</v>
      </c>
      <c r="K46">
        <f t="shared" si="4"/>
        <v>3.6360317460317475E-2</v>
      </c>
      <c r="L46">
        <f t="shared" si="5"/>
        <v>4.9084442507260177E-2</v>
      </c>
    </row>
    <row r="47" spans="1:24" x14ac:dyDescent="0.45">
      <c r="A47" s="1">
        <v>44398</v>
      </c>
      <c r="B47">
        <v>118.298782</v>
      </c>
      <c r="C47">
        <v>280.34939600000001</v>
      </c>
      <c r="D47">
        <v>254.30543499999999</v>
      </c>
      <c r="E47">
        <v>57.049999</v>
      </c>
      <c r="F47">
        <v>222.53999300000001</v>
      </c>
      <c r="H47">
        <f t="shared" si="1"/>
        <v>1.5755430500817132E-2</v>
      </c>
      <c r="I47">
        <f t="shared" si="2"/>
        <v>7.4465499401997221E-3</v>
      </c>
      <c r="J47">
        <f t="shared" si="3"/>
        <v>5.2608289942049193E-3</v>
      </c>
      <c r="K47">
        <f t="shared" si="4"/>
        <v>1.6028441103172159E-2</v>
      </c>
      <c r="L47">
        <f t="shared" si="5"/>
        <v>2.4821548003358535E-2</v>
      </c>
    </row>
    <row r="48" spans="1:24" x14ac:dyDescent="0.45">
      <c r="A48" s="1">
        <v>44399</v>
      </c>
      <c r="B48">
        <v>121.631416</v>
      </c>
      <c r="C48">
        <v>285.07171599999998</v>
      </c>
      <c r="D48">
        <v>255.258926</v>
      </c>
      <c r="E48">
        <v>55.639999000000003</v>
      </c>
      <c r="F48">
        <v>220.86999499999999</v>
      </c>
      <c r="H48">
        <f t="shared" si="1"/>
        <v>2.8171329777511984E-2</v>
      </c>
      <c r="I48">
        <f t="shared" si="2"/>
        <v>1.6844409395481513E-2</v>
      </c>
      <c r="J48">
        <f t="shared" si="3"/>
        <v>3.7493929298051138E-3</v>
      </c>
      <c r="K48">
        <f t="shared" si="4"/>
        <v>-2.4715162571694288E-2</v>
      </c>
      <c r="L48">
        <f t="shared" si="5"/>
        <v>-7.5042601443778278E-3</v>
      </c>
    </row>
    <row r="49" spans="1:12" x14ac:dyDescent="0.45">
      <c r="A49" s="1">
        <v>44400</v>
      </c>
      <c r="B49">
        <v>124.944221</v>
      </c>
      <c r="C49">
        <v>288.58853099999999</v>
      </c>
      <c r="D49">
        <v>259.25149499999998</v>
      </c>
      <c r="E49">
        <v>54.939999</v>
      </c>
      <c r="F49">
        <v>221.520004</v>
      </c>
      <c r="H49">
        <f t="shared" si="1"/>
        <v>2.7236425497175806E-2</v>
      </c>
      <c r="I49">
        <f t="shared" si="2"/>
        <v>1.2336597433608631E-2</v>
      </c>
      <c r="J49">
        <f t="shared" si="3"/>
        <v>1.5641251268133812E-2</v>
      </c>
      <c r="K49">
        <f t="shared" si="4"/>
        <v>-1.2580877292970527E-2</v>
      </c>
      <c r="L49">
        <f t="shared" si="5"/>
        <v>2.9429484072746566E-3</v>
      </c>
    </row>
    <row r="50" spans="1:12" x14ac:dyDescent="0.45">
      <c r="A50" s="1">
        <v>44403</v>
      </c>
      <c r="B50">
        <v>125.033485</v>
      </c>
      <c r="C50">
        <v>287.97082499999999</v>
      </c>
      <c r="D50">
        <v>259.08264200000002</v>
      </c>
      <c r="E50">
        <v>55.77</v>
      </c>
      <c r="F50">
        <v>225.85000600000001</v>
      </c>
      <c r="H50">
        <f t="shared" si="1"/>
        <v>7.1443080188558707E-4</v>
      </c>
      <c r="I50">
        <f t="shared" si="2"/>
        <v>-2.1404384916460812E-3</v>
      </c>
      <c r="J50">
        <f t="shared" si="3"/>
        <v>-6.5130964818527269E-4</v>
      </c>
      <c r="K50">
        <f t="shared" si="4"/>
        <v>1.5107408356523685E-2</v>
      </c>
      <c r="L50">
        <f t="shared" si="5"/>
        <v>1.9546776461777274E-2</v>
      </c>
    </row>
    <row r="51" spans="1:12" x14ac:dyDescent="0.45">
      <c r="A51" s="1">
        <v>44404</v>
      </c>
      <c r="B51">
        <v>125.003738</v>
      </c>
      <c r="C51">
        <v>285.470215</v>
      </c>
      <c r="D51">
        <v>256.59970099999998</v>
      </c>
      <c r="E51">
        <v>55</v>
      </c>
      <c r="F51">
        <v>222.270004</v>
      </c>
      <c r="H51">
        <f t="shared" si="1"/>
        <v>-2.3791226806163494E-4</v>
      </c>
      <c r="I51">
        <f t="shared" si="2"/>
        <v>-8.6835532731483981E-3</v>
      </c>
      <c r="J51">
        <f t="shared" si="3"/>
        <v>-9.583586846393358E-3</v>
      </c>
      <c r="K51">
        <f t="shared" si="4"/>
        <v>-1.3806706114398477E-2</v>
      </c>
      <c r="L51">
        <f t="shared" si="5"/>
        <v>-1.5851237125935731E-2</v>
      </c>
    </row>
    <row r="52" spans="1:12" x14ac:dyDescent="0.45">
      <c r="A52" s="1">
        <v>44405</v>
      </c>
      <c r="B52">
        <v>121.41321600000001</v>
      </c>
      <c r="C52">
        <v>285.15142800000001</v>
      </c>
      <c r="D52">
        <v>255.66613799999999</v>
      </c>
      <c r="E52">
        <v>55.490001999999997</v>
      </c>
      <c r="F52">
        <v>231.570007</v>
      </c>
      <c r="H52">
        <f t="shared" si="1"/>
        <v>-2.8723317057926644E-2</v>
      </c>
      <c r="I52">
        <f t="shared" si="2"/>
        <v>-1.1167084453976614E-3</v>
      </c>
      <c r="J52">
        <f t="shared" si="3"/>
        <v>-3.6382076688389921E-3</v>
      </c>
      <c r="K52">
        <f t="shared" si="4"/>
        <v>8.9091272727272169E-3</v>
      </c>
      <c r="L52">
        <f t="shared" si="5"/>
        <v>4.1841016928222147E-2</v>
      </c>
    </row>
    <row r="53" spans="1:12" x14ac:dyDescent="0.45">
      <c r="A53" s="1">
        <v>44406</v>
      </c>
      <c r="B53">
        <v>121.383453</v>
      </c>
      <c r="C53">
        <v>285.43038899999999</v>
      </c>
      <c r="D53">
        <v>259.877228</v>
      </c>
      <c r="E53">
        <v>57.279998999999997</v>
      </c>
      <c r="F53">
        <v>231.63000500000001</v>
      </c>
      <c r="H53">
        <f t="shared" si="1"/>
        <v>-2.4513805811718755E-4</v>
      </c>
      <c r="I53">
        <f t="shared" si="2"/>
        <v>9.7829073470388208E-4</v>
      </c>
      <c r="J53">
        <f t="shared" si="3"/>
        <v>1.6471051007936034E-2</v>
      </c>
      <c r="K53">
        <f t="shared" si="4"/>
        <v>3.2258009289673477E-2</v>
      </c>
      <c r="L53">
        <f t="shared" si="5"/>
        <v>2.5909227527901453E-4</v>
      </c>
    </row>
    <row r="54" spans="1:12" x14ac:dyDescent="0.45">
      <c r="A54" s="1">
        <v>44407</v>
      </c>
      <c r="B54">
        <v>120.441193</v>
      </c>
      <c r="C54">
        <v>283.84631300000001</v>
      </c>
      <c r="D54">
        <v>259.27136200000001</v>
      </c>
      <c r="E54">
        <v>56.84</v>
      </c>
      <c r="F54">
        <v>226.479996</v>
      </c>
      <c r="H54">
        <f t="shared" si="1"/>
        <v>-7.7626725613087026E-3</v>
      </c>
      <c r="I54">
        <f t="shared" si="2"/>
        <v>-5.5497804755469888E-3</v>
      </c>
      <c r="J54">
        <f t="shared" si="3"/>
        <v>-2.3313547118487495E-3</v>
      </c>
      <c r="K54">
        <f t="shared" si="4"/>
        <v>-7.6815469218145969E-3</v>
      </c>
      <c r="L54">
        <f t="shared" si="5"/>
        <v>-2.2233773210858461E-2</v>
      </c>
    </row>
    <row r="55" spans="1:12" x14ac:dyDescent="0.45">
      <c r="A55" s="1">
        <v>44410</v>
      </c>
      <c r="B55">
        <v>119.389832</v>
      </c>
      <c r="C55">
        <v>283.75665300000003</v>
      </c>
      <c r="D55">
        <v>255.487335</v>
      </c>
      <c r="E55">
        <v>57.029998999999997</v>
      </c>
      <c r="F55">
        <v>225.33999600000001</v>
      </c>
      <c r="H55">
        <f t="shared" si="1"/>
        <v>-8.7292476420422031E-3</v>
      </c>
      <c r="I55">
        <f t="shared" si="2"/>
        <v>-3.1587516164066133E-4</v>
      </c>
      <c r="J55">
        <f t="shared" si="3"/>
        <v>-1.4594851397432813E-2</v>
      </c>
      <c r="K55">
        <f t="shared" si="4"/>
        <v>3.342698803659274E-3</v>
      </c>
      <c r="L55">
        <f t="shared" si="5"/>
        <v>-5.0335571358804971E-3</v>
      </c>
    </row>
    <row r="56" spans="1:12" x14ac:dyDescent="0.45">
      <c r="A56" s="1">
        <v>44411</v>
      </c>
      <c r="B56">
        <v>118.15991200000001</v>
      </c>
      <c r="C56">
        <v>286.04806500000001</v>
      </c>
      <c r="D56">
        <v>260.413544</v>
      </c>
      <c r="E56">
        <v>57.880001</v>
      </c>
      <c r="F56">
        <v>229.08999600000001</v>
      </c>
      <c r="H56">
        <f t="shared" si="1"/>
        <v>-1.0301714805997824E-2</v>
      </c>
      <c r="I56">
        <f t="shared" si="2"/>
        <v>8.0752714545162738E-3</v>
      </c>
      <c r="J56">
        <f t="shared" si="3"/>
        <v>1.9281617227718938E-2</v>
      </c>
      <c r="K56">
        <f t="shared" si="4"/>
        <v>1.4904471592222955E-2</v>
      </c>
      <c r="L56">
        <f t="shared" si="5"/>
        <v>1.6641519777074992E-2</v>
      </c>
    </row>
    <row r="57" spans="1:12" x14ac:dyDescent="0.45">
      <c r="A57" s="1">
        <v>44412</v>
      </c>
      <c r="B57">
        <v>117.287086</v>
      </c>
      <c r="C57">
        <v>285.440338</v>
      </c>
      <c r="D57">
        <v>258.75491299999999</v>
      </c>
      <c r="E57">
        <v>52.720001000000003</v>
      </c>
      <c r="F57">
        <v>226.63000500000001</v>
      </c>
      <c r="H57">
        <f t="shared" si="1"/>
        <v>-7.3868199901841788E-3</v>
      </c>
      <c r="I57">
        <f t="shared" si="2"/>
        <v>-2.1245625276297927E-3</v>
      </c>
      <c r="J57">
        <f t="shared" si="3"/>
        <v>-6.3692194135648106E-3</v>
      </c>
      <c r="K57">
        <f t="shared" si="4"/>
        <v>-8.9149963905494692E-2</v>
      </c>
      <c r="L57">
        <f t="shared" si="5"/>
        <v>-1.0738098751374556E-2</v>
      </c>
    </row>
    <row r="58" spans="1:12" x14ac:dyDescent="0.45">
      <c r="A58" s="1">
        <v>44413</v>
      </c>
      <c r="B58">
        <v>118.060738</v>
      </c>
      <c r="C58">
        <v>288.43908699999997</v>
      </c>
      <c r="D58">
        <v>259.618988</v>
      </c>
      <c r="E58">
        <v>54.439999</v>
      </c>
      <c r="F58">
        <v>229.94000199999999</v>
      </c>
      <c r="H58">
        <f t="shared" si="1"/>
        <v>6.5962249245411246E-3</v>
      </c>
      <c r="I58">
        <f t="shared" si="2"/>
        <v>1.0505694538520254E-2</v>
      </c>
      <c r="J58">
        <f t="shared" si="3"/>
        <v>3.339356884017943E-3</v>
      </c>
      <c r="K58">
        <f t="shared" si="4"/>
        <v>3.2625151126229997E-2</v>
      </c>
      <c r="L58">
        <f t="shared" si="5"/>
        <v>1.4605290239480784E-2</v>
      </c>
    </row>
    <row r="59" spans="1:12" x14ac:dyDescent="0.45">
      <c r="A59" s="1">
        <v>44414</v>
      </c>
      <c r="B59">
        <v>118.080574</v>
      </c>
      <c r="C59">
        <v>288.37933299999997</v>
      </c>
      <c r="D59">
        <v>258.31793199999998</v>
      </c>
      <c r="E59">
        <v>55.049999</v>
      </c>
      <c r="F59">
        <v>231.33000200000001</v>
      </c>
      <c r="H59">
        <f t="shared" si="1"/>
        <v>1.6801521264417276E-4</v>
      </c>
      <c r="I59">
        <f t="shared" si="2"/>
        <v>-2.0716332388057412E-4</v>
      </c>
      <c r="J59">
        <f t="shared" si="3"/>
        <v>-5.0114054061408519E-3</v>
      </c>
      <c r="K59">
        <f t="shared" si="4"/>
        <v>1.1204996532053563E-2</v>
      </c>
      <c r="L59">
        <f t="shared" si="5"/>
        <v>6.0450551792202512E-3</v>
      </c>
    </row>
    <row r="60" spans="1:12" x14ac:dyDescent="0.45">
      <c r="A60" s="1">
        <v>44417</v>
      </c>
      <c r="B60">
        <v>116.979614</v>
      </c>
      <c r="C60">
        <v>287.25351000000001</v>
      </c>
      <c r="D60">
        <v>260.62213100000002</v>
      </c>
      <c r="E60">
        <v>53.950001</v>
      </c>
      <c r="F60">
        <v>232.270004</v>
      </c>
      <c r="H60">
        <f t="shared" si="1"/>
        <v>-9.3238029144404443E-3</v>
      </c>
      <c r="I60">
        <f t="shared" si="2"/>
        <v>-3.9039656146231832E-3</v>
      </c>
      <c r="J60">
        <f t="shared" si="3"/>
        <v>8.9200117938387641E-3</v>
      </c>
      <c r="K60">
        <f t="shared" si="4"/>
        <v>-1.998179872809806E-2</v>
      </c>
      <c r="L60">
        <f t="shared" si="5"/>
        <v>4.0634677381794718E-3</v>
      </c>
    </row>
    <row r="61" spans="1:12" x14ac:dyDescent="0.45">
      <c r="A61" s="1">
        <v>44418</v>
      </c>
      <c r="B61">
        <v>115.44223</v>
      </c>
      <c r="C61">
        <v>285.37057499999997</v>
      </c>
      <c r="D61">
        <v>262.27081299999998</v>
      </c>
      <c r="E61">
        <v>54.259998000000003</v>
      </c>
      <c r="F61">
        <v>235.779999</v>
      </c>
      <c r="H61">
        <f t="shared" si="1"/>
        <v>-1.3142324097598775E-2</v>
      </c>
      <c r="I61">
        <f t="shared" si="2"/>
        <v>-6.5549590673410112E-3</v>
      </c>
      <c r="J61">
        <f t="shared" si="3"/>
        <v>6.3259478144622756E-3</v>
      </c>
      <c r="K61">
        <f t="shared" si="4"/>
        <v>5.7460054541982816E-3</v>
      </c>
      <c r="L61">
        <f t="shared" si="5"/>
        <v>1.5111701638408736E-2</v>
      </c>
    </row>
    <row r="62" spans="1:12" x14ac:dyDescent="0.45">
      <c r="A62" s="1">
        <v>44419</v>
      </c>
      <c r="B62">
        <v>115.999825</v>
      </c>
      <c r="C62">
        <v>285.878693</v>
      </c>
      <c r="D62">
        <v>261.21801799999997</v>
      </c>
      <c r="E62">
        <v>54.27</v>
      </c>
      <c r="F62">
        <v>239.490005</v>
      </c>
      <c r="H62">
        <f t="shared" si="1"/>
        <v>4.8300782131461455E-3</v>
      </c>
      <c r="I62">
        <f t="shared" si="2"/>
        <v>1.7805549853905733E-3</v>
      </c>
      <c r="J62">
        <f t="shared" si="3"/>
        <v>-4.0141523487022684E-3</v>
      </c>
      <c r="K62">
        <f t="shared" si="4"/>
        <v>1.8433469164521652E-4</v>
      </c>
      <c r="L62">
        <f t="shared" si="5"/>
        <v>1.5735032724298183E-2</v>
      </c>
    </row>
    <row r="63" spans="1:12" x14ac:dyDescent="0.45">
      <c r="A63" s="1">
        <v>44420</v>
      </c>
      <c r="B63">
        <v>115.253044</v>
      </c>
      <c r="C63">
        <v>288.728027</v>
      </c>
      <c r="D63">
        <v>260.09573399999999</v>
      </c>
      <c r="E63">
        <v>54.619999</v>
      </c>
      <c r="F63">
        <v>238.179993</v>
      </c>
      <c r="H63">
        <f t="shared" si="1"/>
        <v>-6.4377769535428056E-3</v>
      </c>
      <c r="I63">
        <f t="shared" si="2"/>
        <v>9.9669337721506896E-3</v>
      </c>
      <c r="J63">
        <f t="shared" si="3"/>
        <v>-4.2963498788968655E-3</v>
      </c>
      <c r="K63">
        <f t="shared" si="4"/>
        <v>6.4492168785700542E-3</v>
      </c>
      <c r="L63">
        <f t="shared" si="5"/>
        <v>-5.4700069842163156E-3</v>
      </c>
    </row>
    <row r="64" spans="1:12" x14ac:dyDescent="0.45">
      <c r="A64" s="1">
        <v>44421</v>
      </c>
      <c r="B64">
        <v>116.258713</v>
      </c>
      <c r="C64">
        <v>291.75668300000001</v>
      </c>
      <c r="D64">
        <v>259.75805700000001</v>
      </c>
      <c r="E64">
        <v>53.650002000000001</v>
      </c>
      <c r="F64">
        <v>234.46000699999999</v>
      </c>
      <c r="H64">
        <f t="shared" si="1"/>
        <v>8.7257478422869024E-3</v>
      </c>
      <c r="I64">
        <f t="shared" si="2"/>
        <v>1.0489650178643766E-2</v>
      </c>
      <c r="J64">
        <f t="shared" si="3"/>
        <v>-1.2982796557516208E-3</v>
      </c>
      <c r="K64">
        <f t="shared" si="4"/>
        <v>-1.7759008014628475E-2</v>
      </c>
      <c r="L64">
        <f t="shared" si="5"/>
        <v>-1.5618381515360973E-2</v>
      </c>
    </row>
    <row r="65" spans="1:12" x14ac:dyDescent="0.45">
      <c r="A65" s="1">
        <v>44424</v>
      </c>
      <c r="B65">
        <v>117.03536200000001</v>
      </c>
      <c r="C65">
        <v>293.50012199999998</v>
      </c>
      <c r="D65">
        <v>261.35708599999998</v>
      </c>
      <c r="E65">
        <v>52.950001</v>
      </c>
      <c r="F65">
        <v>229.05999800000001</v>
      </c>
      <c r="H65">
        <f t="shared" si="1"/>
        <v>6.6803509170104622E-3</v>
      </c>
      <c r="I65">
        <f t="shared" si="2"/>
        <v>5.9756608900025316E-3</v>
      </c>
      <c r="J65">
        <f t="shared" si="3"/>
        <v>6.1558398552387277E-3</v>
      </c>
      <c r="K65">
        <f t="shared" si="4"/>
        <v>-1.3047548441843493E-2</v>
      </c>
      <c r="L65">
        <f t="shared" si="5"/>
        <v>-2.303168488773432E-2</v>
      </c>
    </row>
    <row r="66" spans="1:12" x14ac:dyDescent="0.45">
      <c r="A66" s="1"/>
    </row>
    <row r="67" spans="1:12" x14ac:dyDescent="0.45">
      <c r="A67" s="1"/>
    </row>
    <row r="68" spans="1:12" x14ac:dyDescent="0.45">
      <c r="A68" s="1"/>
    </row>
    <row r="69" spans="1:12" x14ac:dyDescent="0.45">
      <c r="A69" s="1"/>
    </row>
    <row r="70" spans="1:12" x14ac:dyDescent="0.45">
      <c r="A70" s="1"/>
    </row>
    <row r="71" spans="1:12" x14ac:dyDescent="0.45">
      <c r="A71" s="1"/>
    </row>
    <row r="72" spans="1:12" x14ac:dyDescent="0.45">
      <c r="A72" s="1"/>
    </row>
    <row r="73" spans="1:12" x14ac:dyDescent="0.45">
      <c r="A73" s="1"/>
    </row>
    <row r="74" spans="1:12" x14ac:dyDescent="0.45">
      <c r="A74" s="1"/>
    </row>
    <row r="75" spans="1:12" x14ac:dyDescent="0.45">
      <c r="A75" s="1"/>
    </row>
    <row r="76" spans="1:12" x14ac:dyDescent="0.45">
      <c r="A76" s="1"/>
    </row>
    <row r="77" spans="1:12" x14ac:dyDescent="0.45">
      <c r="A77" s="1"/>
    </row>
    <row r="78" spans="1:12" x14ac:dyDescent="0.45">
      <c r="A78" s="1"/>
    </row>
    <row r="79" spans="1:12" x14ac:dyDescent="0.45">
      <c r="A79" s="1"/>
    </row>
    <row r="80" spans="1:12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Lizzie Maynard</cp:lastModifiedBy>
  <cp:revision/>
  <dcterms:created xsi:type="dcterms:W3CDTF">2021-11-30T01:33:23Z</dcterms:created>
  <dcterms:modified xsi:type="dcterms:W3CDTF">2021-12-07T15:56:24Z</dcterms:modified>
  <cp:category/>
  <cp:contentStatus/>
</cp:coreProperties>
</file>