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rchiv\Spielcontent\"/>
    </mc:Choice>
  </mc:AlternateContent>
  <xr:revisionPtr revIDLastSave="0" documentId="13_ncr:1_{408C7E55-9079-43CE-9DA9-787C15CC5D86}" xr6:coauthVersionLast="47" xr6:coauthVersionMax="47" xr10:uidLastSave="{00000000-0000-0000-0000-000000000000}"/>
  <bookViews>
    <workbookView xWindow="29610" yWindow="-120" windowWidth="28110" windowHeight="16440" xr2:uid="{A596E166-DB2A-4528-AA7C-70E8C65CC1DB}"/>
  </bookViews>
  <sheets>
    <sheet name="Sheet1" sheetId="1" r:id="rId1"/>
  </sheets>
  <definedNames>
    <definedName name="Wate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" l="1"/>
  <c r="B90" i="1"/>
  <c r="M51" i="1"/>
  <c r="M49" i="1"/>
  <c r="M48" i="1"/>
  <c r="J51" i="1"/>
  <c r="J49" i="1"/>
  <c r="J48" i="1"/>
  <c r="G48" i="1"/>
  <c r="F79" i="1" s="1"/>
  <c r="G51" i="1"/>
  <c r="G49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8" i="1"/>
  <c r="J87" i="1" s="1"/>
  <c r="H1" i="1"/>
  <c r="I1" i="1" s="1"/>
  <c r="E26" i="1"/>
  <c r="E1" i="1"/>
  <c r="E3" i="1" s="1"/>
  <c r="F3" i="1" s="1"/>
  <c r="G3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1" i="1"/>
  <c r="C1" i="1" s="1"/>
  <c r="F90" i="1" l="1"/>
  <c r="J89" i="1" s="1"/>
  <c r="I82" i="1"/>
  <c r="H3" i="1"/>
  <c r="I3" i="1" s="1"/>
  <c r="J3" i="1" s="1"/>
  <c r="H19" i="1"/>
  <c r="H17" i="1"/>
  <c r="H14" i="1"/>
  <c r="H13" i="1"/>
  <c r="H12" i="1"/>
  <c r="H18" i="1"/>
  <c r="H16" i="1"/>
  <c r="H15" i="1"/>
  <c r="H11" i="1"/>
  <c r="H6" i="1"/>
  <c r="H10" i="1"/>
  <c r="H2" i="1"/>
  <c r="I2" i="1" s="1"/>
  <c r="H9" i="1"/>
  <c r="H24" i="1"/>
  <c r="H8" i="1"/>
  <c r="H23" i="1"/>
  <c r="H7" i="1"/>
  <c r="H22" i="1"/>
  <c r="H21" i="1"/>
  <c r="H5" i="1"/>
  <c r="H20" i="1"/>
  <c r="H4" i="1"/>
  <c r="I4" i="1" s="1"/>
  <c r="F1" i="1"/>
  <c r="G1" i="1" s="1"/>
  <c r="K1" i="1"/>
  <c r="L1" i="1" s="1"/>
  <c r="J1" i="1"/>
  <c r="E2" i="1"/>
  <c r="F2" i="1" s="1"/>
  <c r="G2" i="1" s="1"/>
  <c r="E23" i="1"/>
  <c r="F23" i="1" s="1"/>
  <c r="G23" i="1" s="1"/>
  <c r="E21" i="1"/>
  <c r="F21" i="1" s="1"/>
  <c r="G21" i="1" s="1"/>
  <c r="E17" i="1"/>
  <c r="F17" i="1" s="1"/>
  <c r="G17" i="1" s="1"/>
  <c r="E16" i="1"/>
  <c r="F16" i="1" s="1"/>
  <c r="G16" i="1" s="1"/>
  <c r="E24" i="1"/>
  <c r="F24" i="1" s="1"/>
  <c r="G24" i="1" s="1"/>
  <c r="E22" i="1"/>
  <c r="F22" i="1" s="1"/>
  <c r="G22" i="1" s="1"/>
  <c r="E18" i="1"/>
  <c r="F18" i="1" s="1"/>
  <c r="G18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0" i="1"/>
  <c r="F10" i="1" s="1"/>
  <c r="G10" i="1" s="1"/>
  <c r="E11" i="1"/>
  <c r="F11" i="1" s="1"/>
  <c r="G11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20" i="1"/>
  <c r="F20" i="1" s="1"/>
  <c r="G20" i="1" s="1"/>
  <c r="E4" i="1"/>
  <c r="F4" i="1" s="1"/>
  <c r="G4" i="1" s="1"/>
  <c r="E19" i="1"/>
  <c r="F19" i="1" s="1"/>
  <c r="G19" i="1" s="1"/>
  <c r="H90" i="1" l="1"/>
  <c r="G90" i="1"/>
  <c r="K3" i="1"/>
  <c r="L3" i="1" s="1"/>
  <c r="I5" i="1"/>
  <c r="K5" i="1" s="1"/>
  <c r="L5" i="1" s="1"/>
  <c r="J2" i="1"/>
  <c r="K4" i="1"/>
  <c r="L4" i="1" s="1"/>
  <c r="K2" i="1"/>
  <c r="L2" i="1" s="1"/>
  <c r="J4" i="1"/>
  <c r="J5" i="1" l="1"/>
  <c r="I6" i="1"/>
  <c r="I7" i="1" l="1"/>
  <c r="J7" i="1" s="1"/>
  <c r="J6" i="1"/>
  <c r="K6" i="1"/>
  <c r="L6" i="1" s="1"/>
  <c r="K7" i="1" l="1"/>
  <c r="L7" i="1" s="1"/>
  <c r="I8" i="1"/>
  <c r="J8" i="1" s="1"/>
  <c r="K8" i="1" l="1"/>
  <c r="L8" i="1" s="1"/>
  <c r="I9" i="1"/>
  <c r="J9" i="1" s="1"/>
  <c r="K9" i="1" l="1"/>
  <c r="L9" i="1" s="1"/>
  <c r="I10" i="1"/>
  <c r="J10" i="1" s="1"/>
  <c r="K10" i="1" l="1"/>
  <c r="L10" i="1" s="1"/>
  <c r="I11" i="1"/>
  <c r="J11" i="1" s="1"/>
  <c r="K11" i="1" l="1"/>
  <c r="L11" i="1" s="1"/>
  <c r="I12" i="1"/>
  <c r="J12" i="1" s="1"/>
  <c r="K12" i="1" l="1"/>
  <c r="L12" i="1" s="1"/>
  <c r="I13" i="1"/>
  <c r="J13" i="1" s="1"/>
  <c r="K13" i="1" l="1"/>
  <c r="L13" i="1" s="1"/>
  <c r="I14" i="1"/>
  <c r="K14" i="1" s="1"/>
  <c r="L14" i="1" s="1"/>
  <c r="I15" i="1" l="1"/>
  <c r="J15" i="1" s="1"/>
  <c r="J14" i="1"/>
  <c r="K15" i="1" l="1"/>
  <c r="L15" i="1" s="1"/>
  <c r="I16" i="1"/>
  <c r="K16" i="1" s="1"/>
  <c r="L16" i="1" s="1"/>
  <c r="J16" i="1" l="1"/>
  <c r="I17" i="1"/>
  <c r="J17" i="1" s="1"/>
  <c r="K17" i="1" l="1"/>
  <c r="L17" i="1" s="1"/>
  <c r="I18" i="1"/>
  <c r="J18" i="1" s="1"/>
  <c r="K18" i="1" l="1"/>
  <c r="L18" i="1" s="1"/>
  <c r="I19" i="1"/>
  <c r="J19" i="1" s="1"/>
  <c r="K19" i="1" l="1"/>
  <c r="L19" i="1" s="1"/>
  <c r="I20" i="1"/>
  <c r="J20" i="1" s="1"/>
  <c r="K20" i="1" l="1"/>
  <c r="L20" i="1" s="1"/>
  <c r="I21" i="1"/>
  <c r="K21" i="1" s="1"/>
  <c r="L21" i="1" s="1"/>
  <c r="J21" i="1" l="1"/>
  <c r="I22" i="1"/>
  <c r="J22" i="1" s="1"/>
  <c r="K22" i="1" l="1"/>
  <c r="L22" i="1" s="1"/>
  <c r="I23" i="1"/>
  <c r="J23" i="1" s="1"/>
  <c r="K23" i="1" l="1"/>
  <c r="L23" i="1" s="1"/>
  <c r="I24" i="1"/>
  <c r="K24" i="1" s="1"/>
  <c r="L24" i="1" s="1"/>
  <c r="J24" i="1" l="1"/>
</calcChain>
</file>

<file path=xl/sharedStrings.xml><?xml version="1.0" encoding="utf-8"?>
<sst xmlns="http://schemas.openxmlformats.org/spreadsheetml/2006/main" count="94" uniqueCount="86">
  <si>
    <t>Size</t>
  </si>
  <si>
    <t>Emagnets</t>
  </si>
  <si>
    <t>Connectors</t>
  </si>
  <si>
    <t>Water</t>
  </si>
  <si>
    <t>Redstone</t>
  </si>
  <si>
    <t>Quartz</t>
  </si>
  <si>
    <t>Gold</t>
  </si>
  <si>
    <t>Glowstone</t>
  </si>
  <si>
    <t>Lapis</t>
  </si>
  <si>
    <t>Diamond</t>
  </si>
  <si>
    <t>Liquid Helium</t>
  </si>
  <si>
    <t>Ender</t>
  </si>
  <si>
    <t>Cryotheum</t>
  </si>
  <si>
    <t>Iron</t>
  </si>
  <si>
    <t>Emerald</t>
  </si>
  <si>
    <t>Copper</t>
  </si>
  <si>
    <t>Tin</t>
  </si>
  <si>
    <t>Magnesium</t>
  </si>
  <si>
    <t>H-H</t>
  </si>
  <si>
    <t>H-D</t>
  </si>
  <si>
    <t>H-He3</t>
  </si>
  <si>
    <t>Total Power</t>
  </si>
  <si>
    <t xml:space="preserve">Placement </t>
  </si>
  <si>
    <t xml:space="preserve">Blue Area is for Water Cooling your Reactor with Opposite Placement each and the Water Coolers needed to fill up to 5000K. </t>
  </si>
  <si>
    <t>Energy Supply</t>
  </si>
  <si>
    <t>Needed Symmetrical Placement</t>
  </si>
  <si>
    <t>Rest Single Placement</t>
  </si>
  <si>
    <r>
      <t xml:space="preserve">Rest </t>
    </r>
    <r>
      <rPr>
        <sz val="11"/>
        <color rgb="FFFF0000"/>
        <rFont val="Calibri"/>
        <family val="2"/>
        <scheme val="minor"/>
      </rPr>
      <t>only in Single</t>
    </r>
    <r>
      <rPr>
        <sz val="11"/>
        <color theme="1"/>
        <rFont val="Calibri"/>
        <family val="2"/>
        <scheme val="minor"/>
      </rPr>
      <t xml:space="preserve"> Water Cooler</t>
    </r>
  </si>
  <si>
    <r>
      <t xml:space="preserve">Rest in </t>
    </r>
    <r>
      <rPr>
        <sz val="11"/>
        <color rgb="FF00B0F0"/>
        <rFont val="Calibri"/>
        <family val="2"/>
        <scheme val="minor"/>
      </rPr>
      <t>Sym</t>
    </r>
    <r>
      <rPr>
        <sz val="11"/>
        <color theme="1"/>
        <rFont val="Calibri"/>
        <family val="2"/>
        <scheme val="minor"/>
      </rPr>
      <t xml:space="preserve">. And </t>
    </r>
    <r>
      <rPr>
        <sz val="11"/>
        <color theme="4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Water Cooler</t>
    </r>
  </si>
  <si>
    <r>
      <t>Grey Area uses chosen Coolant from left Side and calculates needed Coolers without opposite bonus. The Rest can either be calculated in Single Water Coolers (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) oder in a Combination like before (</t>
    </r>
    <r>
      <rPr>
        <sz val="11"/>
        <color rgb="FF0070C0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).</t>
    </r>
  </si>
  <si>
    <r>
      <t xml:space="preserve">Heat by 1 </t>
    </r>
    <r>
      <rPr>
        <sz val="11"/>
        <color rgb="FF7030A0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 xml:space="preserve"> Cooler</t>
    </r>
  </si>
  <si>
    <t>Choose Data Table</t>
  </si>
  <si>
    <t>H-T</t>
  </si>
  <si>
    <t>H-Li6</t>
  </si>
  <si>
    <t>H-Li7</t>
  </si>
  <si>
    <t>H-B11</t>
  </si>
  <si>
    <t>D-D</t>
  </si>
  <si>
    <t>D-T</t>
  </si>
  <si>
    <t>D-He3</t>
  </si>
  <si>
    <t>D-Li6</t>
  </si>
  <si>
    <t>D-Li7</t>
  </si>
  <si>
    <t>D-B11</t>
  </si>
  <si>
    <t>T-T</t>
  </si>
  <si>
    <t>T-He3</t>
  </si>
  <si>
    <t>T-Li6</t>
  </si>
  <si>
    <t>T-Li7</t>
  </si>
  <si>
    <t>T-B11</t>
  </si>
  <si>
    <t>He3-He3</t>
  </si>
  <si>
    <t>He3-Li6</t>
  </si>
  <si>
    <t>He3-Li7</t>
  </si>
  <si>
    <t>He3-B11</t>
  </si>
  <si>
    <t>Li6-Li6</t>
  </si>
  <si>
    <t>Li6-Li7</t>
  </si>
  <si>
    <t>Li6-B11</t>
  </si>
  <si>
    <t>Li7-Li7</t>
  </si>
  <si>
    <t>Li7-B11</t>
  </si>
  <si>
    <t>B11-B11</t>
  </si>
  <si>
    <t>Coolant</t>
  </si>
  <si>
    <t>Negative Heat</t>
  </si>
  <si>
    <t xml:space="preserve">Fuel Combination </t>
  </si>
  <si>
    <t>Base Time in Ticks</t>
  </si>
  <si>
    <t>Base max Power        in Rf/t</t>
  </si>
  <si>
    <t>Output Power in Rf/t</t>
  </si>
  <si>
    <t>Recommended Tier 1</t>
  </si>
  <si>
    <t>Recommended Tier 2</t>
  </si>
  <si>
    <t>Recommended Tier 3</t>
  </si>
  <si>
    <t>Reactor 1</t>
  </si>
  <si>
    <t>Reactor 2</t>
  </si>
  <si>
    <t>Reactor 3</t>
  </si>
  <si>
    <t>Fuel Consumption for 1000mb in mb/t</t>
  </si>
  <si>
    <t>Green Area is filled with information to building and holding the Fusion Reactor active.</t>
  </si>
  <si>
    <t>Following I will continue about the recommended Fuel Combination.</t>
  </si>
  <si>
    <t>All thats left is your Hydrogen needed:</t>
  </si>
  <si>
    <t>Electrolyzer Calculation</t>
  </si>
  <si>
    <t>950 mb/240s</t>
  </si>
  <si>
    <t>950 mb/4s</t>
  </si>
  <si>
    <t>Totally Upgraded (x65) Hydrogen</t>
  </si>
  <si>
    <t>Base Hydrogen</t>
  </si>
  <si>
    <t>Totally Upgraded (x65) Power</t>
  </si>
  <si>
    <t>2600 RF/t</t>
  </si>
  <si>
    <t xml:space="preserve">Electrolyzer </t>
  </si>
  <si>
    <t>Total Power Need</t>
  </si>
  <si>
    <t>Total Upgrades Need (for each type)</t>
  </si>
  <si>
    <t>Need of Upgraded Electrolyzer</t>
  </si>
  <si>
    <t>Red Marked Combinations produce less Power than they need to run.</t>
  </si>
  <si>
    <r>
      <t xml:space="preserve">Below you can see every Fuel Combination and their relative stats. You can change the Size for 3 different Reactors. Although a single setup type is provided with more information about Fuel Usage. Where you want to align those with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numbers.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</si>
</sst>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26"/>
      <color theme="1"/>
      <name val="Adobe Garamond Pro Bold"/>
      <family val="1"/>
    </font>
    <font>
      <b/>
      <sz val="18"/>
      <color rgb="FF00B05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4B4B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1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6" borderId="19" xfId="0" applyFill="1" applyBorder="1"/>
    <xf numFmtId="0" fontId="0" fillId="2" borderId="19" xfId="0" applyFill="1" applyBorder="1"/>
    <xf numFmtId="0" fontId="0" fillId="3" borderId="19" xfId="0" applyFill="1" applyBorder="1"/>
    <xf numFmtId="164" fontId="0" fillId="3" borderId="19" xfId="0" applyNumberFormat="1" applyFill="1" applyBorder="1"/>
    <xf numFmtId="0" fontId="0" fillId="2" borderId="8" xfId="0" applyFill="1" applyBorder="1"/>
    <xf numFmtId="0" fontId="0" fillId="3" borderId="8" xfId="0" applyFill="1" applyBorder="1"/>
    <xf numFmtId="2" fontId="0" fillId="2" borderId="8" xfId="0" applyNumberFormat="1" applyFill="1" applyBorder="1"/>
    <xf numFmtId="164" fontId="4" fillId="3" borderId="8" xfId="0" applyNumberFormat="1" applyFont="1" applyFill="1" applyBorder="1"/>
    <xf numFmtId="164" fontId="6" fillId="3" borderId="3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2" fontId="0" fillId="2" borderId="0" xfId="0" applyNumberFormat="1" applyFill="1" applyBorder="1"/>
    <xf numFmtId="164" fontId="4" fillId="3" borderId="0" xfId="0" applyNumberFormat="1" applyFont="1" applyFill="1" applyBorder="1"/>
    <xf numFmtId="164" fontId="6" fillId="3" borderId="5" xfId="0" applyNumberFormat="1" applyFont="1" applyFill="1" applyBorder="1"/>
    <xf numFmtId="2" fontId="0" fillId="5" borderId="0" xfId="0" applyNumberFormat="1" applyFill="1" applyBorder="1"/>
    <xf numFmtId="164" fontId="4" fillId="4" borderId="0" xfId="0" applyNumberFormat="1" applyFont="1" applyFill="1" applyBorder="1"/>
    <xf numFmtId="164" fontId="6" fillId="4" borderId="5" xfId="0" applyNumberFormat="1" applyFont="1" applyFill="1" applyBorder="1"/>
    <xf numFmtId="0" fontId="0" fillId="6" borderId="21" xfId="0" applyFill="1" applyBorder="1"/>
    <xf numFmtId="164" fontId="0" fillId="3" borderId="22" xfId="0" applyNumberFormat="1" applyFill="1" applyBorder="1" applyAlignment="1">
      <alignment vertical="center" wrapText="1"/>
    </xf>
    <xf numFmtId="0" fontId="0" fillId="7" borderId="4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8" xfId="0" applyFill="1" applyBorder="1"/>
    <xf numFmtId="0" fontId="0" fillId="6" borderId="20" xfId="0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164" fontId="0" fillId="3" borderId="20" xfId="0" applyNumberFormat="1" applyFill="1" applyBorder="1" applyAlignment="1">
      <alignment horizontal="center" vertical="center" wrapText="1"/>
    </xf>
    <xf numFmtId="0" fontId="0" fillId="7" borderId="23" xfId="0" applyFill="1" applyBorder="1"/>
    <xf numFmtId="0" fontId="0" fillId="6" borderId="24" xfId="0" applyFill="1" applyBorder="1"/>
    <xf numFmtId="0" fontId="0" fillId="7" borderId="24" xfId="0" applyFill="1" applyBorder="1"/>
    <xf numFmtId="0" fontId="0" fillId="6" borderId="25" xfId="0" applyFill="1" applyBorder="1"/>
    <xf numFmtId="0" fontId="0" fillId="7" borderId="23" xfId="0" applyFill="1" applyBorder="1" applyAlignment="1">
      <alignment horizontal="right"/>
    </xf>
    <xf numFmtId="0" fontId="0" fillId="6" borderId="24" xfId="0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0" fontId="0" fillId="6" borderId="25" xfId="0" applyFill="1" applyBorder="1" applyAlignment="1">
      <alignment horizontal="right"/>
    </xf>
    <xf numFmtId="0" fontId="0" fillId="2" borderId="23" xfId="0" applyFill="1" applyBorder="1"/>
    <xf numFmtId="0" fontId="0" fillId="5" borderId="24" xfId="0" applyFill="1" applyBorder="1"/>
    <xf numFmtId="0" fontId="0" fillId="2" borderId="24" xfId="0" applyFill="1" applyBorder="1"/>
    <xf numFmtId="0" fontId="0" fillId="5" borderId="25" xfId="0" applyFill="1" applyBorder="1"/>
    <xf numFmtId="0" fontId="0" fillId="3" borderId="23" xfId="0" applyFill="1" applyBorder="1"/>
    <xf numFmtId="0" fontId="0" fillId="4" borderId="24" xfId="0" applyFill="1" applyBorder="1"/>
    <xf numFmtId="0" fontId="0" fillId="3" borderId="24" xfId="0" applyFill="1" applyBorder="1"/>
    <xf numFmtId="0" fontId="0" fillId="4" borderId="25" xfId="0" applyFill="1" applyBorder="1"/>
    <xf numFmtId="164" fontId="8" fillId="3" borderId="23" xfId="0" applyNumberFormat="1" applyFont="1" applyFill="1" applyBorder="1"/>
    <xf numFmtId="164" fontId="8" fillId="4" borderId="24" xfId="0" applyNumberFormat="1" applyFont="1" applyFill="1" applyBorder="1"/>
    <xf numFmtId="164" fontId="8" fillId="3" borderId="24" xfId="0" applyNumberFormat="1" applyFont="1" applyFill="1" applyBorder="1"/>
    <xf numFmtId="164" fontId="8" fillId="4" borderId="25" xfId="0" applyNumberFormat="1" applyFont="1" applyFill="1" applyBorder="1"/>
    <xf numFmtId="0" fontId="0" fillId="0" borderId="0" xfId="0" applyBorder="1" applyAlignment="1">
      <alignment wrapText="1"/>
    </xf>
    <xf numFmtId="2" fontId="0" fillId="2" borderId="23" xfId="0" applyNumberFormat="1" applyFill="1" applyBorder="1"/>
    <xf numFmtId="2" fontId="0" fillId="5" borderId="24" xfId="0" applyNumberFormat="1" applyFill="1" applyBorder="1"/>
    <xf numFmtId="2" fontId="0" fillId="2" borderId="24" xfId="0" applyNumberFormat="1" applyFill="1" applyBorder="1"/>
    <xf numFmtId="2" fontId="0" fillId="5" borderId="25" xfId="0" applyNumberFormat="1" applyFill="1" applyBorder="1"/>
    <xf numFmtId="2" fontId="0" fillId="3" borderId="8" xfId="1" applyNumberFormat="1" applyFont="1" applyFill="1" applyBorder="1"/>
    <xf numFmtId="2" fontId="0" fillId="4" borderId="0" xfId="1" applyNumberFormat="1" applyFont="1" applyFill="1" applyBorder="1"/>
    <xf numFmtId="2" fontId="0" fillId="3" borderId="0" xfId="1" applyNumberFormat="1" applyFont="1" applyFill="1" applyBorder="1"/>
    <xf numFmtId="0" fontId="5" fillId="8" borderId="1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25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5" fillId="8" borderId="30" xfId="0" applyFont="1" applyFill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textRotation="255" wrapText="1"/>
    </xf>
    <xf numFmtId="0" fontId="11" fillId="9" borderId="24" xfId="0" applyFont="1" applyFill="1" applyBorder="1" applyAlignment="1">
      <alignment horizontal="center" vertical="center" textRotation="255" wrapText="1"/>
    </xf>
    <xf numFmtId="0" fontId="11" fillId="9" borderId="25" xfId="0" applyFont="1" applyFill="1" applyBorder="1" applyAlignment="1">
      <alignment horizontal="center" vertical="center" textRotation="255" wrapText="1"/>
    </xf>
    <xf numFmtId="0" fontId="11" fillId="10" borderId="29" xfId="0" applyFont="1" applyFill="1" applyBorder="1" applyAlignment="1">
      <alignment horizontal="center" vertical="center" textRotation="255" wrapText="1"/>
    </xf>
    <xf numFmtId="0" fontId="11" fillId="10" borderId="24" xfId="0" applyFont="1" applyFill="1" applyBorder="1" applyAlignment="1">
      <alignment horizontal="center" vertical="center" textRotation="255" wrapText="1"/>
    </xf>
    <xf numFmtId="0" fontId="11" fillId="10" borderId="25" xfId="0" applyFont="1" applyFill="1" applyBorder="1" applyAlignment="1">
      <alignment horizontal="center" vertical="center" textRotation="255" wrapText="1"/>
    </xf>
    <xf numFmtId="0" fontId="11" fillId="7" borderId="29" xfId="0" applyFont="1" applyFill="1" applyBorder="1" applyAlignment="1">
      <alignment horizontal="center" vertical="center" textRotation="255" wrapText="1"/>
    </xf>
    <xf numFmtId="0" fontId="11" fillId="7" borderId="24" xfId="0" applyFont="1" applyFill="1" applyBorder="1" applyAlignment="1">
      <alignment horizontal="center" vertical="center" textRotation="255" wrapText="1"/>
    </xf>
    <xf numFmtId="0" fontId="11" fillId="7" borderId="25" xfId="0" applyFont="1" applyFill="1" applyBorder="1" applyAlignment="1">
      <alignment horizontal="center" vertical="center" textRotation="255" wrapText="1"/>
    </xf>
    <xf numFmtId="0" fontId="0" fillId="11" borderId="24" xfId="0" applyFill="1" applyBorder="1" applyAlignment="1">
      <alignment vertical="center" wrapText="1"/>
    </xf>
    <xf numFmtId="0" fontId="0" fillId="12" borderId="4" xfId="0" applyFill="1" applyBorder="1"/>
    <xf numFmtId="0" fontId="0" fillId="12" borderId="24" xfId="0" applyFill="1" applyBorder="1"/>
    <xf numFmtId="0" fontId="0" fillId="12" borderId="5" xfId="0" applyFill="1" applyBorder="1"/>
    <xf numFmtId="0" fontId="0" fillId="12" borderId="24" xfId="0" applyFill="1" applyBorder="1" applyAlignment="1">
      <alignment vertical="center" wrapText="1"/>
    </xf>
    <xf numFmtId="0" fontId="0" fillId="13" borderId="4" xfId="0" applyFill="1" applyBorder="1" applyAlignment="1">
      <alignment vertical="center" wrapText="1"/>
    </xf>
    <xf numFmtId="0" fontId="0" fillId="13" borderId="24" xfId="0" applyFill="1" applyBorder="1" applyAlignment="1">
      <alignment vertical="center" wrapText="1"/>
    </xf>
    <xf numFmtId="0" fontId="0" fillId="13" borderId="5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 wrapText="1"/>
    </xf>
    <xf numFmtId="0" fontId="0" fillId="11" borderId="29" xfId="0" applyFill="1" applyBorder="1" applyAlignment="1">
      <alignment vertical="center" wrapText="1"/>
    </xf>
    <xf numFmtId="0" fontId="4" fillId="11" borderId="29" xfId="0" applyFont="1" applyFill="1" applyBorder="1" applyAlignment="1">
      <alignment vertical="center" wrapText="1"/>
    </xf>
    <xf numFmtId="0" fontId="4" fillId="13" borderId="24" xfId="0" applyFont="1" applyFill="1" applyBorder="1" applyAlignment="1">
      <alignment vertical="center" wrapText="1"/>
    </xf>
    <xf numFmtId="0" fontId="4" fillId="12" borderId="24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wrapText="1"/>
    </xf>
    <xf numFmtId="0" fontId="0" fillId="14" borderId="11" xfId="0" applyFill="1" applyBorder="1" applyAlignment="1">
      <alignment horizontal="center" wrapText="1"/>
    </xf>
    <xf numFmtId="0" fontId="0" fillId="14" borderId="12" xfId="0" applyFill="1" applyBorder="1" applyAlignment="1">
      <alignment horizontal="center" wrapText="1"/>
    </xf>
    <xf numFmtId="0" fontId="0" fillId="14" borderId="13" xfId="0" applyFill="1" applyBorder="1" applyAlignment="1">
      <alignment horizontal="center" wrapText="1"/>
    </xf>
    <xf numFmtId="0" fontId="0" fillId="14" borderId="14" xfId="0" applyFill="1" applyBorder="1" applyAlignment="1">
      <alignment horizontal="center" wrapText="1"/>
    </xf>
    <xf numFmtId="0" fontId="0" fillId="14" borderId="15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Alignment="1"/>
    <xf numFmtId="0" fontId="0" fillId="0" borderId="1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/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Border="1" applyAlignment="1">
      <alignment horizontal="right"/>
    </xf>
    <xf numFmtId="0" fontId="0" fillId="0" borderId="6" xfId="0" applyBorder="1" applyAlignment="1"/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7" fillId="0" borderId="0" xfId="0" applyFont="1" applyBorder="1" applyAlignment="1"/>
    <xf numFmtId="0" fontId="0" fillId="15" borderId="28" xfId="0" applyFill="1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5" borderId="4" xfId="0" applyFill="1" applyBorder="1"/>
    <xf numFmtId="0" fontId="0" fillId="15" borderId="6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30</xdr:row>
      <xdr:rowOff>9526</xdr:rowOff>
    </xdr:from>
    <xdr:to>
      <xdr:col>4</xdr:col>
      <xdr:colOff>1238250</xdr:colOff>
      <xdr:row>34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DAA61DD-A375-460F-9BFE-DDA8D27E7407}"/>
            </a:ext>
          </a:extLst>
        </xdr:cNvPr>
        <xdr:cNvCxnSpPr/>
      </xdr:nvCxnSpPr>
      <xdr:spPr>
        <a:xfrm flipH="1" flipV="1">
          <a:off x="5248276" y="5753101"/>
          <a:ext cx="1209674" cy="771524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ACF8-AD01-465E-AA09-D537780DD803}">
  <dimension ref="A1:P104"/>
  <sheetViews>
    <sheetView tabSelected="1" topLeftCell="A16" zoomScaleNormal="100" workbookViewId="0">
      <selection activeCell="F41" sqref="F41"/>
    </sheetView>
  </sheetViews>
  <sheetFormatPr defaultRowHeight="15" x14ac:dyDescent="0.25"/>
  <cols>
    <col min="1" max="13" width="19.5703125" customWidth="1"/>
    <col min="14" max="14" width="19.5703125" style="1" customWidth="1"/>
    <col min="15" max="16" width="9.42578125" style="1" customWidth="1"/>
  </cols>
  <sheetData>
    <row r="1" spans="1:12" x14ac:dyDescent="0.25">
      <c r="A1" s="31">
        <v>1</v>
      </c>
      <c r="B1" s="38">
        <f t="shared" ref="B1:B24" si="0">32*(A1+2)</f>
        <v>96</v>
      </c>
      <c r="C1" s="42" t="str">
        <f>200*B1&amp;" RF/t"</f>
        <v>19200 RF/t</v>
      </c>
      <c r="D1" s="32">
        <f t="shared" ref="D1:D24" si="1">4*(A1-1)</f>
        <v>0</v>
      </c>
      <c r="E1" s="59">
        <f>200/A1</f>
        <v>200</v>
      </c>
      <c r="F1" s="16">
        <f>ROUNDDOWN(5000/(E1*4),0)</f>
        <v>6</v>
      </c>
      <c r="G1" s="46">
        <f>(5000-F1*E1*4)/E1</f>
        <v>1</v>
      </c>
      <c r="H1" s="63">
        <f>IF(D$30=B30,(C30/2*A1),IF(D$30=B31,C31/2*A1,IF(D$30=B32,C32/2*A1,IF(D$30=B33,C33/2*A1,IF(D$30=B34,C34/2*A1,IF(D$30=B35,C35/2*A1,IF(D$30=B36,C36/2*A1,IF(D$30=B37,C37/2*A1,IF(D$30=B38,C38/2*A1,IF(D$30=B39,C39/2*A1,IF(D$30=B40,C40/2*A1,IF(D$30=B41,C41/2*A1,IF(D$30=B42,C42/2*A1,IF(D$30=B43,C43/2*A1,IF(D$30=B44,C44/2*A1)))))))))))))))</f>
        <v>12000</v>
      </c>
      <c r="I1" s="50">
        <f>ROUNDDOWN(5000/H1,0)</f>
        <v>0</v>
      </c>
      <c r="J1" s="17">
        <f>(5000-H1*I1)/E1</f>
        <v>25</v>
      </c>
      <c r="K1" s="54">
        <f>ROUNDDOWN((5000-H1*I1)/(4*E1),0)</f>
        <v>6</v>
      </c>
      <c r="L1" s="18">
        <f>(5000-H1*I1-4*E1*K1)/E1</f>
        <v>1</v>
      </c>
    </row>
    <row r="2" spans="1:12" x14ac:dyDescent="0.25">
      <c r="A2" s="19">
        <v>2</v>
      </c>
      <c r="B2" s="39">
        <f t="shared" si="0"/>
        <v>128</v>
      </c>
      <c r="C2" s="43" t="str">
        <f t="shared" ref="C2:C24" si="2">200*B2&amp;" RF/t"</f>
        <v>25600 RF/t</v>
      </c>
      <c r="D2" s="20">
        <f t="shared" si="1"/>
        <v>4</v>
      </c>
      <c r="E2" s="60">
        <f t="shared" ref="E2:E24" si="3">$E$1/A2</f>
        <v>100</v>
      </c>
      <c r="F2" s="24">
        <f>ROUNDDOWN(5000/(E2*4),0)</f>
        <v>12</v>
      </c>
      <c r="G2" s="47">
        <f>(5000-F2*E2*4)/E2</f>
        <v>2</v>
      </c>
      <c r="H2" s="64">
        <f>($H$1)/A2</f>
        <v>6000</v>
      </c>
      <c r="I2" s="51">
        <f>ROUNDDOWN(5000/H2,0)</f>
        <v>0</v>
      </c>
      <c r="J2" s="25">
        <f>(5000-H2*I2)/E2</f>
        <v>50</v>
      </c>
      <c r="K2" s="55">
        <f>ROUNDDOWN((5000-H2*I2)/(4*E2),0)</f>
        <v>12</v>
      </c>
      <c r="L2" s="26">
        <f>(5000-H2*I2-4*E2*K2)/E2</f>
        <v>2</v>
      </c>
    </row>
    <row r="3" spans="1:12" x14ac:dyDescent="0.25">
      <c r="A3" s="29">
        <v>3</v>
      </c>
      <c r="B3" s="40">
        <f t="shared" si="0"/>
        <v>160</v>
      </c>
      <c r="C3" s="44" t="str">
        <f t="shared" si="2"/>
        <v>32000 RF/t</v>
      </c>
      <c r="D3" s="30">
        <f t="shared" si="1"/>
        <v>8</v>
      </c>
      <c r="E3" s="61">
        <f t="shared" si="3"/>
        <v>66.666666666666671</v>
      </c>
      <c r="F3" s="21">
        <f>ROUNDDOWN(5000/(E3*4),0)</f>
        <v>18</v>
      </c>
      <c r="G3" s="48">
        <f>(5000-F3*E3*4)/E3</f>
        <v>3</v>
      </c>
      <c r="H3" s="65">
        <f t="shared" ref="H3:H24" si="4">($H$1)/A3</f>
        <v>4000</v>
      </c>
      <c r="I3" s="52">
        <f>ROUNDDOWN(5000/H3,0)</f>
        <v>1</v>
      </c>
      <c r="J3" s="22">
        <f>(5000-H3*I3)/E3</f>
        <v>14.999999999999998</v>
      </c>
      <c r="K3" s="56">
        <f>ROUNDDOWN((5000-H3*I3)/(4*E3),0)</f>
        <v>3</v>
      </c>
      <c r="L3" s="23">
        <f>(5000-H3*I3-4*E3*K3)/E3</f>
        <v>3</v>
      </c>
    </row>
    <row r="4" spans="1:12" x14ac:dyDescent="0.25">
      <c r="A4" s="19">
        <v>4</v>
      </c>
      <c r="B4" s="39">
        <f t="shared" si="0"/>
        <v>192</v>
      </c>
      <c r="C4" s="43" t="str">
        <f t="shared" si="2"/>
        <v>38400 RF/t</v>
      </c>
      <c r="D4" s="20">
        <f t="shared" si="1"/>
        <v>12</v>
      </c>
      <c r="E4" s="60">
        <f t="shared" si="3"/>
        <v>50</v>
      </c>
      <c r="F4" s="24">
        <f>ROUNDDOWN(5000/(E4*4),0)</f>
        <v>25</v>
      </c>
      <c r="G4" s="47">
        <f>(5000-F4*E4*4)/E4</f>
        <v>0</v>
      </c>
      <c r="H4" s="64">
        <f t="shared" si="4"/>
        <v>3000</v>
      </c>
      <c r="I4" s="51">
        <f>ROUNDDOWN(5000/H4,0)</f>
        <v>1</v>
      </c>
      <c r="J4" s="25">
        <f>(5000-H4*I4)/E4</f>
        <v>40</v>
      </c>
      <c r="K4" s="55">
        <f>ROUNDDOWN((5000-H4*I4)/(4*E4),0)</f>
        <v>10</v>
      </c>
      <c r="L4" s="26">
        <f>(5000-H4*I4-4*E4*K4)/E4</f>
        <v>0</v>
      </c>
    </row>
    <row r="5" spans="1:12" x14ac:dyDescent="0.25">
      <c r="A5" s="29">
        <v>5</v>
      </c>
      <c r="B5" s="40">
        <f t="shared" si="0"/>
        <v>224</v>
      </c>
      <c r="C5" s="44" t="str">
        <f t="shared" si="2"/>
        <v>44800 RF/t</v>
      </c>
      <c r="D5" s="30">
        <f t="shared" si="1"/>
        <v>16</v>
      </c>
      <c r="E5" s="61">
        <f t="shared" si="3"/>
        <v>40</v>
      </c>
      <c r="F5" s="21">
        <f>ROUNDDOWN(5000/(E5*4),0)</f>
        <v>31</v>
      </c>
      <c r="G5" s="48">
        <f>(5000-F5*E5*4)/E5</f>
        <v>1</v>
      </c>
      <c r="H5" s="65">
        <f t="shared" si="4"/>
        <v>2400</v>
      </c>
      <c r="I5" s="52">
        <f>ROUNDDOWN(5000/H5,0)</f>
        <v>2</v>
      </c>
      <c r="J5" s="22">
        <f>(5000-H5*I5)/E5</f>
        <v>5</v>
      </c>
      <c r="K5" s="56">
        <f>ROUNDDOWN((5000-H5*I5)/(4*E5),0)</f>
        <v>1</v>
      </c>
      <c r="L5" s="23">
        <f>(5000-H5*I5-4*E5*K5)/E5</f>
        <v>1</v>
      </c>
    </row>
    <row r="6" spans="1:12" x14ac:dyDescent="0.25">
      <c r="A6" s="19">
        <v>6</v>
      </c>
      <c r="B6" s="39">
        <f t="shared" si="0"/>
        <v>256</v>
      </c>
      <c r="C6" s="43" t="str">
        <f t="shared" si="2"/>
        <v>51200 RF/t</v>
      </c>
      <c r="D6" s="20">
        <f t="shared" si="1"/>
        <v>20</v>
      </c>
      <c r="E6" s="60">
        <f t="shared" si="3"/>
        <v>33.333333333333336</v>
      </c>
      <c r="F6" s="24">
        <f>ROUNDDOWN(5000/(E6*4),0)</f>
        <v>37</v>
      </c>
      <c r="G6" s="47">
        <f>(5000-F6*E6*4)/E6</f>
        <v>1.9999999999999816</v>
      </c>
      <c r="H6" s="64">
        <f t="shared" si="4"/>
        <v>2000</v>
      </c>
      <c r="I6" s="51">
        <f>ROUNDDOWN(5000/H6,0)</f>
        <v>2</v>
      </c>
      <c r="J6" s="25">
        <f>(5000-H6*I6)/E6</f>
        <v>29.999999999999996</v>
      </c>
      <c r="K6" s="55">
        <f>ROUNDDOWN((5000-H6*I6)/(4*E6),0)</f>
        <v>7</v>
      </c>
      <c r="L6" s="26">
        <f>(5000-H6*I6-4*E6*K6)/E6</f>
        <v>1.9999999999999987</v>
      </c>
    </row>
    <row r="7" spans="1:12" x14ac:dyDescent="0.25">
      <c r="A7" s="29">
        <v>7</v>
      </c>
      <c r="B7" s="40">
        <f t="shared" si="0"/>
        <v>288</v>
      </c>
      <c r="C7" s="44" t="str">
        <f t="shared" si="2"/>
        <v>57600 RF/t</v>
      </c>
      <c r="D7" s="30">
        <f t="shared" si="1"/>
        <v>24</v>
      </c>
      <c r="E7" s="61">
        <f t="shared" si="3"/>
        <v>28.571428571428573</v>
      </c>
      <c r="F7" s="21">
        <f>ROUNDDOWN(5000/(E7*4),0)</f>
        <v>43</v>
      </c>
      <c r="G7" s="48">
        <f>(5000-F7*E7*4)/E7</f>
        <v>2.9999999999999862</v>
      </c>
      <c r="H7" s="65">
        <f t="shared" si="4"/>
        <v>1714.2857142857142</v>
      </c>
      <c r="I7" s="52">
        <f>ROUNDDOWN(5000/H7,0)</f>
        <v>2</v>
      </c>
      <c r="J7" s="22">
        <f>(5000-H7*I7)/E7</f>
        <v>55</v>
      </c>
      <c r="K7" s="56">
        <f>ROUNDDOWN((5000-H7*I7)/(4*E7),0)</f>
        <v>13</v>
      </c>
      <c r="L7" s="23">
        <f>(5000-H7*I7-4*E7*K7)/E7</f>
        <v>3.0000000000000022</v>
      </c>
    </row>
    <row r="8" spans="1:12" x14ac:dyDescent="0.25">
      <c r="A8" s="19">
        <v>8</v>
      </c>
      <c r="B8" s="39">
        <f t="shared" si="0"/>
        <v>320</v>
      </c>
      <c r="C8" s="43" t="str">
        <f t="shared" si="2"/>
        <v>64000 RF/t</v>
      </c>
      <c r="D8" s="20">
        <f t="shared" si="1"/>
        <v>28</v>
      </c>
      <c r="E8" s="60">
        <f t="shared" si="3"/>
        <v>25</v>
      </c>
      <c r="F8" s="24">
        <f>ROUNDDOWN(5000/(E8*4),0)</f>
        <v>50</v>
      </c>
      <c r="G8" s="47">
        <f>(5000-F8*E8*4)/E8</f>
        <v>0</v>
      </c>
      <c r="H8" s="64">
        <f t="shared" si="4"/>
        <v>1500</v>
      </c>
      <c r="I8" s="51">
        <f>ROUNDDOWN(5000/H8,0)</f>
        <v>3</v>
      </c>
      <c r="J8" s="25">
        <f>(5000-H8*I8)/E8</f>
        <v>20</v>
      </c>
      <c r="K8" s="55">
        <f>ROUNDDOWN((5000-H8*I8)/(4*E8),0)</f>
        <v>5</v>
      </c>
      <c r="L8" s="26">
        <f>(5000-H8*I8-4*E8*K8)/E8</f>
        <v>0</v>
      </c>
    </row>
    <row r="9" spans="1:12" x14ac:dyDescent="0.25">
      <c r="A9" s="29">
        <v>9</v>
      </c>
      <c r="B9" s="40">
        <f t="shared" si="0"/>
        <v>352</v>
      </c>
      <c r="C9" s="44" t="str">
        <f t="shared" si="2"/>
        <v>70400 RF/t</v>
      </c>
      <c r="D9" s="30">
        <f t="shared" si="1"/>
        <v>32</v>
      </c>
      <c r="E9" s="61">
        <f t="shared" si="3"/>
        <v>22.222222222222221</v>
      </c>
      <c r="F9" s="21">
        <f>ROUNDDOWN(5000/(E9*4),0)</f>
        <v>56</v>
      </c>
      <c r="G9" s="48">
        <f>(5000-F9*E9*4)/E9</f>
        <v>1.0000000000000182</v>
      </c>
      <c r="H9" s="65">
        <f t="shared" si="4"/>
        <v>1333.3333333333333</v>
      </c>
      <c r="I9" s="52">
        <f>ROUNDDOWN(5000/H9,0)</f>
        <v>3</v>
      </c>
      <c r="J9" s="22">
        <f>(5000-H9*I9)/E9</f>
        <v>45</v>
      </c>
      <c r="K9" s="56">
        <f>ROUNDDOWN((5000-H9*I9)/(4*E9),0)</f>
        <v>11</v>
      </c>
      <c r="L9" s="23">
        <f>(5000-H9*I9-4*E9*K9)/E9</f>
        <v>1.0000000000000029</v>
      </c>
    </row>
    <row r="10" spans="1:12" x14ac:dyDescent="0.25">
      <c r="A10" s="19">
        <v>10</v>
      </c>
      <c r="B10" s="39">
        <f t="shared" si="0"/>
        <v>384</v>
      </c>
      <c r="C10" s="43" t="str">
        <f t="shared" si="2"/>
        <v>76800 RF/t</v>
      </c>
      <c r="D10" s="20">
        <f t="shared" si="1"/>
        <v>36</v>
      </c>
      <c r="E10" s="60">
        <f t="shared" si="3"/>
        <v>20</v>
      </c>
      <c r="F10" s="24">
        <f>ROUNDDOWN(5000/(E10*4),0)</f>
        <v>62</v>
      </c>
      <c r="G10" s="47">
        <f>(5000-F10*E10*4)/E10</f>
        <v>2</v>
      </c>
      <c r="H10" s="64">
        <f t="shared" si="4"/>
        <v>1200</v>
      </c>
      <c r="I10" s="51">
        <f>ROUNDDOWN(5000/H10,0)</f>
        <v>4</v>
      </c>
      <c r="J10" s="25">
        <f>(5000-H10*I10)/E10</f>
        <v>10</v>
      </c>
      <c r="K10" s="55">
        <f>ROUNDDOWN((5000-H10*I10)/(4*E10),0)</f>
        <v>2</v>
      </c>
      <c r="L10" s="26">
        <f>(5000-H10*I10-4*E10*K10)/E10</f>
        <v>2</v>
      </c>
    </row>
    <row r="11" spans="1:12" x14ac:dyDescent="0.25">
      <c r="A11" s="29">
        <v>11</v>
      </c>
      <c r="B11" s="40">
        <f t="shared" si="0"/>
        <v>416</v>
      </c>
      <c r="C11" s="44" t="str">
        <f t="shared" si="2"/>
        <v>83200 RF/t</v>
      </c>
      <c r="D11" s="30">
        <f t="shared" si="1"/>
        <v>40</v>
      </c>
      <c r="E11" s="61">
        <f t="shared" si="3"/>
        <v>18.181818181818183</v>
      </c>
      <c r="F11" s="21">
        <f>ROUNDDOWN(5000/(E11*4),0)</f>
        <v>68</v>
      </c>
      <c r="G11" s="48">
        <f>(5000-F11*E11*4)/E11</f>
        <v>2.9999999999999725</v>
      </c>
      <c r="H11" s="65">
        <f t="shared" si="4"/>
        <v>1090.909090909091</v>
      </c>
      <c r="I11" s="52">
        <f>ROUNDDOWN(5000/H11,0)</f>
        <v>4</v>
      </c>
      <c r="J11" s="22">
        <f>(5000-H11*I11)/E11</f>
        <v>34.999999999999979</v>
      </c>
      <c r="K11" s="56">
        <f>ROUNDDOWN((5000-H11*I11)/(4*E11),0)</f>
        <v>8</v>
      </c>
      <c r="L11" s="23">
        <f>(5000-H11*I11-4*E11*K11)/E11</f>
        <v>2.9999999999999787</v>
      </c>
    </row>
    <row r="12" spans="1:12" x14ac:dyDescent="0.25">
      <c r="A12" s="19">
        <v>12</v>
      </c>
      <c r="B12" s="39">
        <f t="shared" si="0"/>
        <v>448</v>
      </c>
      <c r="C12" s="43" t="str">
        <f t="shared" si="2"/>
        <v>89600 RF/t</v>
      </c>
      <c r="D12" s="20">
        <f t="shared" si="1"/>
        <v>44</v>
      </c>
      <c r="E12" s="60">
        <f t="shared" si="3"/>
        <v>16.666666666666668</v>
      </c>
      <c r="F12" s="24">
        <f>ROUNDDOWN(5000/(E12*4),0)</f>
        <v>75</v>
      </c>
      <c r="G12" s="47">
        <f>(5000-F12*E12*4)/E12</f>
        <v>0</v>
      </c>
      <c r="H12" s="64">
        <f t="shared" si="4"/>
        <v>1000</v>
      </c>
      <c r="I12" s="51">
        <f>ROUNDDOWN(5000/H12,0)</f>
        <v>5</v>
      </c>
      <c r="J12" s="25">
        <f>(5000-H12*I12)/E12</f>
        <v>0</v>
      </c>
      <c r="K12" s="55">
        <f>ROUNDDOWN((5000-H12*I12)/(4*E12),0)</f>
        <v>0</v>
      </c>
      <c r="L12" s="26">
        <f>(5000-H12*I12-4*E12*K12)/E12</f>
        <v>0</v>
      </c>
    </row>
    <row r="13" spans="1:12" x14ac:dyDescent="0.25">
      <c r="A13" s="29">
        <v>13</v>
      </c>
      <c r="B13" s="40">
        <f t="shared" si="0"/>
        <v>480</v>
      </c>
      <c r="C13" s="44" t="str">
        <f t="shared" si="2"/>
        <v>96000 RF/t</v>
      </c>
      <c r="D13" s="30">
        <f t="shared" si="1"/>
        <v>48</v>
      </c>
      <c r="E13" s="61">
        <f t="shared" si="3"/>
        <v>15.384615384615385</v>
      </c>
      <c r="F13" s="21">
        <f>ROUNDDOWN(5000/(E13*4),0)</f>
        <v>81</v>
      </c>
      <c r="G13" s="48">
        <f>(5000-F13*E13*4)/E13</f>
        <v>0.9999999999999909</v>
      </c>
      <c r="H13" s="65">
        <f t="shared" si="4"/>
        <v>923.07692307692309</v>
      </c>
      <c r="I13" s="52">
        <f>ROUNDDOWN(5000/H13,0)</f>
        <v>5</v>
      </c>
      <c r="J13" s="22">
        <f>(5000-H13*I13)/E13</f>
        <v>25.000000000000007</v>
      </c>
      <c r="K13" s="56">
        <f>ROUNDDOWN((5000-H13*I13)/(4*E13),0)</f>
        <v>6</v>
      </c>
      <c r="L13" s="23">
        <f>(5000-H13*I13-4*E13*K13)/E13</f>
        <v>1.0000000000000093</v>
      </c>
    </row>
    <row r="14" spans="1:12" x14ac:dyDescent="0.25">
      <c r="A14" s="19">
        <v>14</v>
      </c>
      <c r="B14" s="39">
        <f t="shared" si="0"/>
        <v>512</v>
      </c>
      <c r="C14" s="43" t="str">
        <f t="shared" si="2"/>
        <v>102400 RF/t</v>
      </c>
      <c r="D14" s="20">
        <f t="shared" si="1"/>
        <v>52</v>
      </c>
      <c r="E14" s="60">
        <f t="shared" si="3"/>
        <v>14.285714285714286</v>
      </c>
      <c r="F14" s="24">
        <f>ROUNDDOWN(5000/(E14*4),0)</f>
        <v>87</v>
      </c>
      <c r="G14" s="47">
        <f>(5000-F14*E14*4)/E14</f>
        <v>1.9999999999999909</v>
      </c>
      <c r="H14" s="64">
        <f t="shared" si="4"/>
        <v>857.14285714285711</v>
      </c>
      <c r="I14" s="51">
        <f>ROUNDDOWN(5000/H14,0)</f>
        <v>5</v>
      </c>
      <c r="J14" s="25">
        <f>(5000-H14*I14)/E14</f>
        <v>50.000000000000021</v>
      </c>
      <c r="K14" s="55">
        <f>ROUNDDOWN((5000-H14*I14)/(4*E14),0)</f>
        <v>12</v>
      </c>
      <c r="L14" s="26">
        <f>(5000-H14*I14-4*E14*K14)/E14</f>
        <v>2.0000000000000226</v>
      </c>
    </row>
    <row r="15" spans="1:12" x14ac:dyDescent="0.25">
      <c r="A15" s="29">
        <v>15</v>
      </c>
      <c r="B15" s="40">
        <f t="shared" si="0"/>
        <v>544</v>
      </c>
      <c r="C15" s="44" t="str">
        <f t="shared" si="2"/>
        <v>108800 RF/t</v>
      </c>
      <c r="D15" s="30">
        <f t="shared" si="1"/>
        <v>56</v>
      </c>
      <c r="E15" s="61">
        <f t="shared" si="3"/>
        <v>13.333333333333334</v>
      </c>
      <c r="F15" s="21">
        <f>ROUNDDOWN(5000/(E15*4),0)</f>
        <v>93</v>
      </c>
      <c r="G15" s="48">
        <f>(5000-F15*E15*4)/E15</f>
        <v>3</v>
      </c>
      <c r="H15" s="65">
        <f t="shared" si="4"/>
        <v>800</v>
      </c>
      <c r="I15" s="52">
        <f>ROUNDDOWN(5000/H15,0)</f>
        <v>6</v>
      </c>
      <c r="J15" s="22">
        <f>(5000-H15*I15)/E15</f>
        <v>15</v>
      </c>
      <c r="K15" s="56">
        <f>ROUNDDOWN((5000-H15*I15)/(4*E15),0)</f>
        <v>3</v>
      </c>
      <c r="L15" s="23">
        <f>(5000-H15*I15-4*E15*K15)/E15</f>
        <v>3</v>
      </c>
    </row>
    <row r="16" spans="1:12" x14ac:dyDescent="0.25">
      <c r="A16" s="19">
        <v>16</v>
      </c>
      <c r="B16" s="39">
        <f t="shared" si="0"/>
        <v>576</v>
      </c>
      <c r="C16" s="43" t="str">
        <f t="shared" si="2"/>
        <v>115200 RF/t</v>
      </c>
      <c r="D16" s="20">
        <f t="shared" si="1"/>
        <v>60</v>
      </c>
      <c r="E16" s="60">
        <f t="shared" si="3"/>
        <v>12.5</v>
      </c>
      <c r="F16" s="24">
        <f>ROUNDDOWN(5000/(E16*4),0)</f>
        <v>100</v>
      </c>
      <c r="G16" s="47">
        <f>(5000-F16*E16*4)/E16</f>
        <v>0</v>
      </c>
      <c r="H16" s="64">
        <f t="shared" si="4"/>
        <v>750</v>
      </c>
      <c r="I16" s="51">
        <f>ROUNDDOWN(5000/H16,0)</f>
        <v>6</v>
      </c>
      <c r="J16" s="25">
        <f>(5000-H16*I16)/E16</f>
        <v>40</v>
      </c>
      <c r="K16" s="55">
        <f>ROUNDDOWN((5000-H16*I16)/(4*E16),0)</f>
        <v>10</v>
      </c>
      <c r="L16" s="26">
        <f>(5000-H16*I16-4*E16*K16)/E16</f>
        <v>0</v>
      </c>
    </row>
    <row r="17" spans="1:13" x14ac:dyDescent="0.25">
      <c r="A17" s="29">
        <v>17</v>
      </c>
      <c r="B17" s="40">
        <f t="shared" si="0"/>
        <v>608</v>
      </c>
      <c r="C17" s="44" t="str">
        <f t="shared" si="2"/>
        <v>121600 RF/t</v>
      </c>
      <c r="D17" s="30">
        <f t="shared" si="1"/>
        <v>64</v>
      </c>
      <c r="E17" s="61">
        <f t="shared" si="3"/>
        <v>11.764705882352942</v>
      </c>
      <c r="F17" s="21">
        <f>ROUNDDOWN(5000/(E17*4),0)</f>
        <v>106</v>
      </c>
      <c r="G17" s="48">
        <f>(5000-F17*E17*4)/E17</f>
        <v>0.99999999999994083</v>
      </c>
      <c r="H17" s="65">
        <f t="shared" si="4"/>
        <v>705.88235294117646</v>
      </c>
      <c r="I17" s="52">
        <f>ROUNDDOWN(5000/H17,0)</f>
        <v>7</v>
      </c>
      <c r="J17" s="22">
        <f>(5000-H17*I17)/E17</f>
        <v>5.0000000000000133</v>
      </c>
      <c r="K17" s="56">
        <f>ROUNDDOWN((5000-H17*I17)/(4*E17),0)</f>
        <v>1</v>
      </c>
      <c r="L17" s="23">
        <f>(5000-H17*I17-4*E17*K17)/E17</f>
        <v>1.0000000000000133</v>
      </c>
    </row>
    <row r="18" spans="1:13" x14ac:dyDescent="0.25">
      <c r="A18" s="19">
        <v>18</v>
      </c>
      <c r="B18" s="39">
        <f t="shared" si="0"/>
        <v>640</v>
      </c>
      <c r="C18" s="43" t="str">
        <f t="shared" si="2"/>
        <v>128000 RF/t</v>
      </c>
      <c r="D18" s="20">
        <f t="shared" si="1"/>
        <v>68</v>
      </c>
      <c r="E18" s="60">
        <f t="shared" si="3"/>
        <v>11.111111111111111</v>
      </c>
      <c r="F18" s="24">
        <f>ROUNDDOWN(5000/(E18*4),0)</f>
        <v>112</v>
      </c>
      <c r="G18" s="47">
        <f>(5000-F18*E18*4)/E18</f>
        <v>2.0000000000000364</v>
      </c>
      <c r="H18" s="64">
        <f t="shared" si="4"/>
        <v>666.66666666666663</v>
      </c>
      <c r="I18" s="51">
        <f>ROUNDDOWN(5000/H18,0)</f>
        <v>7</v>
      </c>
      <c r="J18" s="25">
        <f>(5000-H18*I18)/E18</f>
        <v>30.000000000000057</v>
      </c>
      <c r="K18" s="55">
        <f>ROUNDDOWN((5000-H18*I18)/(4*E18),0)</f>
        <v>7</v>
      </c>
      <c r="L18" s="26">
        <f>(5000-H18*I18-4*E18*K18)/E18</f>
        <v>2.0000000000000568</v>
      </c>
    </row>
    <row r="19" spans="1:13" x14ac:dyDescent="0.25">
      <c r="A19" s="29">
        <v>19</v>
      </c>
      <c r="B19" s="40">
        <f t="shared" si="0"/>
        <v>672</v>
      </c>
      <c r="C19" s="44" t="str">
        <f t="shared" si="2"/>
        <v>134400 RF/t</v>
      </c>
      <c r="D19" s="30">
        <f t="shared" si="1"/>
        <v>72</v>
      </c>
      <c r="E19" s="61">
        <f t="shared" si="3"/>
        <v>10.526315789473685</v>
      </c>
      <c r="F19" s="21">
        <f>ROUNDDOWN(5000/(E19*4),0)</f>
        <v>118</v>
      </c>
      <c r="G19" s="48">
        <f>(5000-F19*E19*4)/E19</f>
        <v>2.9999999999999769</v>
      </c>
      <c r="H19" s="65">
        <f t="shared" si="4"/>
        <v>631.57894736842104</v>
      </c>
      <c r="I19" s="52">
        <f>ROUNDDOWN(5000/H19,0)</f>
        <v>7</v>
      </c>
      <c r="J19" s="22">
        <f>(5000-H19*I19)/E19</f>
        <v>54.999999999999986</v>
      </c>
      <c r="K19" s="56">
        <f>ROUNDDOWN((5000-H19*I19)/(4*E19),0)</f>
        <v>13</v>
      </c>
      <c r="L19" s="23">
        <f>(5000-H19*I19-4*E19*K19)/E19</f>
        <v>2.9999999999999769</v>
      </c>
    </row>
    <row r="20" spans="1:13" x14ac:dyDescent="0.25">
      <c r="A20" s="19">
        <v>20</v>
      </c>
      <c r="B20" s="39">
        <f t="shared" si="0"/>
        <v>704</v>
      </c>
      <c r="C20" s="43" t="str">
        <f t="shared" si="2"/>
        <v>140800 RF/t</v>
      </c>
      <c r="D20" s="20">
        <f t="shared" si="1"/>
        <v>76</v>
      </c>
      <c r="E20" s="60">
        <f t="shared" si="3"/>
        <v>10</v>
      </c>
      <c r="F20" s="24">
        <f>ROUNDDOWN(5000/(E20*4),0)</f>
        <v>125</v>
      </c>
      <c r="G20" s="47">
        <f>(5000-F20*E20*4)/E20</f>
        <v>0</v>
      </c>
      <c r="H20" s="64">
        <f t="shared" si="4"/>
        <v>600</v>
      </c>
      <c r="I20" s="51">
        <f>ROUNDDOWN(5000/H20,0)</f>
        <v>8</v>
      </c>
      <c r="J20" s="25">
        <f>(5000-H20*I20)/E20</f>
        <v>20</v>
      </c>
      <c r="K20" s="55">
        <f>ROUNDDOWN((5000-H20*I20)/(4*E20),0)</f>
        <v>5</v>
      </c>
      <c r="L20" s="26">
        <f>(5000-H20*I20-4*E20*K20)/E20</f>
        <v>0</v>
      </c>
    </row>
    <row r="21" spans="1:13" x14ac:dyDescent="0.25">
      <c r="A21" s="29">
        <v>21</v>
      </c>
      <c r="B21" s="40">
        <f t="shared" si="0"/>
        <v>736</v>
      </c>
      <c r="C21" s="44" t="str">
        <f t="shared" si="2"/>
        <v>147200 RF/t</v>
      </c>
      <c r="D21" s="30">
        <f t="shared" si="1"/>
        <v>80</v>
      </c>
      <c r="E21" s="61">
        <f t="shared" si="3"/>
        <v>9.5238095238095237</v>
      </c>
      <c r="F21" s="21">
        <f>ROUNDDOWN(5000/(E21*4),0)</f>
        <v>131</v>
      </c>
      <c r="G21" s="48">
        <f>(5000-F21*E21*4)/E21</f>
        <v>0.99999999999996358</v>
      </c>
      <c r="H21" s="65">
        <f t="shared" si="4"/>
        <v>571.42857142857144</v>
      </c>
      <c r="I21" s="52">
        <f>ROUNDDOWN(5000/H21,0)</f>
        <v>8</v>
      </c>
      <c r="J21" s="22">
        <f>(5000-H21*I21)/E21</f>
        <v>44.999999999999986</v>
      </c>
      <c r="K21" s="56">
        <f>ROUNDDOWN((5000-H21*I21)/(4*E21),0)</f>
        <v>11</v>
      </c>
      <c r="L21" s="23">
        <f>(5000-H21*I21-4*E21*K21)/E21</f>
        <v>0.99999999999998745</v>
      </c>
    </row>
    <row r="22" spans="1:13" x14ac:dyDescent="0.25">
      <c r="A22" s="19">
        <v>22</v>
      </c>
      <c r="B22" s="39">
        <f t="shared" si="0"/>
        <v>768</v>
      </c>
      <c r="C22" s="43" t="str">
        <f t="shared" si="2"/>
        <v>153600 RF/t</v>
      </c>
      <c r="D22" s="20">
        <f t="shared" si="1"/>
        <v>84</v>
      </c>
      <c r="E22" s="60">
        <f t="shared" si="3"/>
        <v>9.0909090909090917</v>
      </c>
      <c r="F22" s="24">
        <f>ROUNDDOWN(5000/(E22*4),0)</f>
        <v>137</v>
      </c>
      <c r="G22" s="47">
        <f>(5000-F22*E22*4)/E22</f>
        <v>1.9999999999999816</v>
      </c>
      <c r="H22" s="64">
        <f t="shared" si="4"/>
        <v>545.4545454545455</v>
      </c>
      <c r="I22" s="51">
        <f>ROUNDDOWN(5000/H22,0)</f>
        <v>9</v>
      </c>
      <c r="J22" s="25">
        <f>(5000-H22*I22)/E22</f>
        <v>9.9999999999999076</v>
      </c>
      <c r="K22" s="55">
        <f>ROUNDDOWN((5000-H22*I22)/(4*E22),0)</f>
        <v>2</v>
      </c>
      <c r="L22" s="26">
        <f>(5000-H22*I22-4*E22*K22)/E22</f>
        <v>1.9999999999999081</v>
      </c>
    </row>
    <row r="23" spans="1:13" x14ac:dyDescent="0.25">
      <c r="A23" s="29">
        <v>23</v>
      </c>
      <c r="B23" s="40">
        <f t="shared" si="0"/>
        <v>800</v>
      </c>
      <c r="C23" s="44" t="str">
        <f t="shared" si="2"/>
        <v>160000 RF/t</v>
      </c>
      <c r="D23" s="30">
        <f t="shared" si="1"/>
        <v>88</v>
      </c>
      <c r="E23" s="61">
        <f t="shared" si="3"/>
        <v>8.695652173913043</v>
      </c>
      <c r="F23" s="21">
        <f>ROUNDDOWN(5000/(E23*4),0)</f>
        <v>143</v>
      </c>
      <c r="G23" s="48">
        <f>(5000-F23*E23*4)/E23</f>
        <v>2.9999999999999867</v>
      </c>
      <c r="H23" s="65">
        <f t="shared" si="4"/>
        <v>521.73913043478262</v>
      </c>
      <c r="I23" s="52">
        <f>ROUNDDOWN(5000/H23,0)</f>
        <v>9</v>
      </c>
      <c r="J23" s="22">
        <f>(5000-H23*I23)/E23</f>
        <v>34.99999999999995</v>
      </c>
      <c r="K23" s="56">
        <f>ROUNDDOWN((5000-H23*I23)/(4*E23),0)</f>
        <v>8</v>
      </c>
      <c r="L23" s="23">
        <f>(5000-H23*I23-4*E23*K23)/E23</f>
        <v>2.9999999999999472</v>
      </c>
    </row>
    <row r="24" spans="1:13" x14ac:dyDescent="0.25">
      <c r="A24" s="19">
        <v>24</v>
      </c>
      <c r="B24" s="41">
        <f t="shared" si="0"/>
        <v>832</v>
      </c>
      <c r="C24" s="45" t="str">
        <f t="shared" si="2"/>
        <v>166400 RF/t</v>
      </c>
      <c r="D24" s="20">
        <f t="shared" si="1"/>
        <v>92</v>
      </c>
      <c r="E24" s="62">
        <f t="shared" si="3"/>
        <v>8.3333333333333339</v>
      </c>
      <c r="F24" s="24">
        <f>ROUNDDOWN(5000/(E24*4),0)</f>
        <v>150</v>
      </c>
      <c r="G24" s="49">
        <f>(5000-F24*E24*4)/E24</f>
        <v>0</v>
      </c>
      <c r="H24" s="64">
        <f t="shared" si="4"/>
        <v>500</v>
      </c>
      <c r="I24" s="53">
        <f>ROUNDDOWN(5000/H24,0)</f>
        <v>10</v>
      </c>
      <c r="J24" s="25">
        <f>(5000-H24*I24)/E24</f>
        <v>0</v>
      </c>
      <c r="K24" s="57">
        <f>ROUNDDOWN((5000-H24*I24)/(4*E24),0)</f>
        <v>0</v>
      </c>
      <c r="L24" s="26">
        <f>(5000-H24*I24-4*E24*K24)/E24</f>
        <v>0</v>
      </c>
    </row>
    <row r="25" spans="1:13" ht="15.75" customHeight="1" x14ac:dyDescent="0.25">
      <c r="A25" s="27"/>
      <c r="B25" s="10"/>
      <c r="C25" s="10"/>
      <c r="D25" s="10"/>
      <c r="E25" s="14"/>
      <c r="F25" s="11"/>
      <c r="G25" s="11"/>
      <c r="H25" s="15"/>
      <c r="I25" s="12"/>
      <c r="J25" s="13"/>
      <c r="K25" s="13"/>
      <c r="L25" s="28"/>
    </row>
    <row r="26" spans="1:13" s="9" customFormat="1" ht="15" customHeight="1" x14ac:dyDescent="0.25">
      <c r="A26" s="33" t="s">
        <v>0</v>
      </c>
      <c r="B26" s="33" t="s">
        <v>1</v>
      </c>
      <c r="C26" s="33" t="s">
        <v>24</v>
      </c>
      <c r="D26" s="33" t="s">
        <v>2</v>
      </c>
      <c r="E26" s="34" t="str">
        <f>"Heat by 1 Water Cooler"</f>
        <v>Heat by 1 Water Cooler</v>
      </c>
      <c r="F26" s="35" t="s">
        <v>25</v>
      </c>
      <c r="G26" s="35" t="s">
        <v>26</v>
      </c>
      <c r="H26" s="36" t="s">
        <v>30</v>
      </c>
      <c r="I26" s="36" t="s">
        <v>22</v>
      </c>
      <c r="J26" s="37" t="s">
        <v>27</v>
      </c>
      <c r="K26" s="37" t="s">
        <v>28</v>
      </c>
      <c r="L26" s="37"/>
    </row>
    <row r="27" spans="1:13" s="9" customFormat="1" x14ac:dyDescent="0.25">
      <c r="A27" s="33"/>
      <c r="B27" s="33"/>
      <c r="C27" s="33"/>
      <c r="D27" s="33"/>
      <c r="E27" s="34"/>
      <c r="F27" s="35"/>
      <c r="G27" s="35"/>
      <c r="H27" s="36"/>
      <c r="I27" s="36"/>
      <c r="J27" s="37"/>
      <c r="K27" s="37"/>
      <c r="L27" s="37"/>
    </row>
    <row r="28" spans="1:13" s="73" customFormat="1" ht="15.75" thickBot="1" x14ac:dyDescent="0.3">
      <c r="A28" s="70"/>
      <c r="B28" s="70"/>
      <c r="C28" s="70"/>
      <c r="D28" s="70"/>
      <c r="E28" s="71"/>
      <c r="F28" s="70"/>
      <c r="G28" s="70"/>
      <c r="H28" s="70"/>
      <c r="I28" s="70"/>
      <c r="J28" s="72"/>
      <c r="K28" s="72"/>
      <c r="L28" s="72"/>
    </row>
    <row r="29" spans="1:13" ht="15.75" thickBot="1" x14ac:dyDescent="0.3">
      <c r="B29" s="74" t="s">
        <v>57</v>
      </c>
      <c r="C29" s="74" t="s">
        <v>58</v>
      </c>
      <c r="F29" s="121" t="s">
        <v>70</v>
      </c>
      <c r="G29" s="122"/>
      <c r="H29" s="122"/>
      <c r="I29" s="122"/>
      <c r="J29" s="123"/>
      <c r="M29" s="5"/>
    </row>
    <row r="30" spans="1:13" ht="15" customHeight="1" thickBot="1" x14ac:dyDescent="0.3">
      <c r="A30" t="s">
        <v>31</v>
      </c>
      <c r="B30" s="3" t="s">
        <v>3</v>
      </c>
      <c r="C30" s="76">
        <v>400</v>
      </c>
      <c r="D30" s="66" t="s">
        <v>5</v>
      </c>
      <c r="F30" s="124"/>
      <c r="G30" s="125"/>
      <c r="H30" s="125"/>
      <c r="I30" s="125"/>
      <c r="J30" s="126"/>
      <c r="M30" s="58"/>
    </row>
    <row r="31" spans="1:13" ht="15.75" thickBot="1" x14ac:dyDescent="0.3">
      <c r="B31" s="3" t="s">
        <v>13</v>
      </c>
      <c r="C31" s="77">
        <v>19200</v>
      </c>
      <c r="M31" s="58"/>
    </row>
    <row r="32" spans="1:13" x14ac:dyDescent="0.25">
      <c r="B32" s="3" t="s">
        <v>15</v>
      </c>
      <c r="C32" s="77">
        <v>20800</v>
      </c>
      <c r="F32" s="127" t="s">
        <v>23</v>
      </c>
      <c r="G32" s="128"/>
      <c r="H32" s="128"/>
      <c r="I32" s="128"/>
      <c r="J32" s="129"/>
      <c r="M32" s="58"/>
    </row>
    <row r="33" spans="1:16" ht="15" customHeight="1" thickBot="1" x14ac:dyDescent="0.3">
      <c r="B33" s="3" t="s">
        <v>8</v>
      </c>
      <c r="C33" s="77">
        <v>22400</v>
      </c>
      <c r="F33" s="130"/>
      <c r="G33" s="131"/>
      <c r="H33" s="131"/>
      <c r="I33" s="131"/>
      <c r="J33" s="132"/>
      <c r="M33" s="58"/>
    </row>
    <row r="34" spans="1:16" ht="15.75" thickBot="1" x14ac:dyDescent="0.3">
      <c r="B34" s="3" t="s">
        <v>5</v>
      </c>
      <c r="C34" s="77">
        <v>24000</v>
      </c>
      <c r="F34" s="2"/>
      <c r="G34" s="2"/>
      <c r="H34" s="2"/>
      <c r="I34" s="2"/>
      <c r="J34" s="2"/>
      <c r="M34" s="58"/>
    </row>
    <row r="35" spans="1:16" x14ac:dyDescent="0.25">
      <c r="B35" s="3" t="s">
        <v>16</v>
      </c>
      <c r="C35" s="77">
        <v>24000</v>
      </c>
      <c r="F35" s="133" t="s">
        <v>29</v>
      </c>
      <c r="G35" s="134"/>
      <c r="H35" s="134"/>
      <c r="I35" s="134"/>
      <c r="J35" s="135"/>
      <c r="K35" s="2"/>
      <c r="L35" s="2"/>
      <c r="M35" s="58"/>
    </row>
    <row r="36" spans="1:16" ht="15.75" thickBot="1" x14ac:dyDescent="0.3">
      <c r="B36" s="3" t="s">
        <v>4</v>
      </c>
      <c r="C36" s="77">
        <v>25600</v>
      </c>
      <c r="F36" s="136"/>
      <c r="G36" s="137"/>
      <c r="H36" s="137"/>
      <c r="I36" s="137"/>
      <c r="J36" s="138"/>
      <c r="K36" s="2"/>
      <c r="L36" s="2"/>
      <c r="M36" s="58"/>
    </row>
    <row r="37" spans="1:16" ht="15.75" thickBot="1" x14ac:dyDescent="0.3">
      <c r="B37" s="3" t="s">
        <v>14</v>
      </c>
      <c r="C37" s="77">
        <v>28800</v>
      </c>
      <c r="H37" s="2"/>
      <c r="I37" s="2"/>
      <c r="J37" s="2"/>
      <c r="K37" s="2"/>
      <c r="L37" s="2"/>
      <c r="M37" s="58"/>
    </row>
    <row r="38" spans="1:16" ht="15" customHeight="1" x14ac:dyDescent="0.25">
      <c r="B38" s="3" t="s">
        <v>17</v>
      </c>
      <c r="C38" s="77">
        <v>28800</v>
      </c>
      <c r="F38" s="139" t="s">
        <v>85</v>
      </c>
      <c r="G38" s="140"/>
      <c r="H38" s="140"/>
      <c r="I38" s="140"/>
      <c r="J38" s="141"/>
      <c r="K38" s="2"/>
      <c r="L38" s="2"/>
      <c r="M38" s="58"/>
    </row>
    <row r="39" spans="1:16" x14ac:dyDescent="0.25">
      <c r="B39" s="3" t="s">
        <v>7</v>
      </c>
      <c r="C39" s="77">
        <v>32000</v>
      </c>
      <c r="F39" s="146"/>
      <c r="G39" s="145"/>
      <c r="H39" s="145"/>
      <c r="I39" s="145"/>
      <c r="J39" s="147"/>
    </row>
    <row r="40" spans="1:16" ht="15.75" thickBot="1" x14ac:dyDescent="0.3">
      <c r="B40" s="3" t="s">
        <v>6</v>
      </c>
      <c r="C40" s="77">
        <v>38400</v>
      </c>
      <c r="F40" s="142"/>
      <c r="G40" s="143"/>
      <c r="H40" s="143"/>
      <c r="I40" s="143"/>
      <c r="J40" s="144"/>
    </row>
    <row r="41" spans="1:16" ht="15.75" thickBot="1" x14ac:dyDescent="0.3">
      <c r="B41" s="3" t="s">
        <v>11</v>
      </c>
      <c r="C41" s="77">
        <v>43200</v>
      </c>
    </row>
    <row r="42" spans="1:16" ht="15.75" thickBot="1" x14ac:dyDescent="0.3">
      <c r="B42" s="3" t="s">
        <v>12</v>
      </c>
      <c r="C42" s="77">
        <v>51200</v>
      </c>
      <c r="F42" s="189" t="s">
        <v>84</v>
      </c>
      <c r="G42" s="190"/>
      <c r="H42" s="190"/>
      <c r="I42" s="190"/>
      <c r="J42" s="191"/>
    </row>
    <row r="43" spans="1:16" x14ac:dyDescent="0.25">
      <c r="B43" s="3" t="s">
        <v>10</v>
      </c>
      <c r="C43" s="77">
        <v>52800</v>
      </c>
    </row>
    <row r="44" spans="1:16" x14ac:dyDescent="0.25">
      <c r="B44" s="4" t="s">
        <v>9</v>
      </c>
      <c r="C44" s="78">
        <v>56000</v>
      </c>
    </row>
    <row r="45" spans="1:16" ht="15.75" thickBot="1" x14ac:dyDescent="0.3">
      <c r="B45" s="5"/>
      <c r="C45" s="75"/>
    </row>
    <row r="46" spans="1:16" ht="15" customHeight="1" x14ac:dyDescent="0.25">
      <c r="B46" s="79" t="s">
        <v>59</v>
      </c>
      <c r="C46" s="79" t="s">
        <v>60</v>
      </c>
      <c r="D46" s="79" t="s">
        <v>61</v>
      </c>
      <c r="E46" s="88" t="s">
        <v>0</v>
      </c>
      <c r="F46" s="79" t="s">
        <v>62</v>
      </c>
      <c r="G46" s="84" t="s">
        <v>69</v>
      </c>
      <c r="H46" s="88" t="s">
        <v>0</v>
      </c>
      <c r="I46" s="79" t="s">
        <v>62</v>
      </c>
      <c r="J46" s="84" t="s">
        <v>69</v>
      </c>
      <c r="K46" s="88" t="s">
        <v>0</v>
      </c>
      <c r="L46" s="90" t="s">
        <v>62</v>
      </c>
      <c r="M46" s="84" t="s">
        <v>69</v>
      </c>
    </row>
    <row r="47" spans="1:16" s="68" customFormat="1" ht="15.75" thickBot="1" x14ac:dyDescent="0.3">
      <c r="B47" s="80"/>
      <c r="C47" s="80"/>
      <c r="D47" s="80"/>
      <c r="E47" s="89">
        <v>12</v>
      </c>
      <c r="F47" s="80"/>
      <c r="G47" s="85"/>
      <c r="H47" s="89">
        <v>18</v>
      </c>
      <c r="I47" s="80"/>
      <c r="J47" s="85"/>
      <c r="K47" s="89">
        <v>24</v>
      </c>
      <c r="L47" s="91"/>
      <c r="M47" s="85"/>
      <c r="N47" s="69"/>
      <c r="O47" s="69"/>
      <c r="P47" s="69"/>
    </row>
    <row r="48" spans="1:16" s="68" customFormat="1" ht="15" customHeight="1" x14ac:dyDescent="0.25">
      <c r="A48" s="86" t="s">
        <v>63</v>
      </c>
      <c r="B48" s="109" t="s">
        <v>18</v>
      </c>
      <c r="C48" s="101">
        <v>100</v>
      </c>
      <c r="D48" s="110">
        <v>44200</v>
      </c>
      <c r="E48" s="92" t="s">
        <v>66</v>
      </c>
      <c r="F48" s="101">
        <f>($D48*$C48)/($C48/E$47)</f>
        <v>530400</v>
      </c>
      <c r="G48" s="112">
        <f>1000/($C48/E$47)</f>
        <v>119.99999999999999</v>
      </c>
      <c r="H48" s="95" t="s">
        <v>67</v>
      </c>
      <c r="I48" s="101">
        <f>($D48*$C48)/($C48/H$47)</f>
        <v>795600</v>
      </c>
      <c r="J48" s="111">
        <f>1000/($C48/H$47)</f>
        <v>180</v>
      </c>
      <c r="K48" s="98" t="s">
        <v>68</v>
      </c>
      <c r="L48" s="101">
        <f>($D48*$C48)/($C48/K$47)</f>
        <v>1060800</v>
      </c>
      <c r="M48" s="111">
        <f>1000/($C48/K$47)</f>
        <v>239.99999999999997</v>
      </c>
      <c r="N48" s="69"/>
      <c r="O48" s="69"/>
      <c r="P48" s="69"/>
    </row>
    <row r="49" spans="1:13" x14ac:dyDescent="0.25">
      <c r="A49" s="86" t="s">
        <v>64</v>
      </c>
      <c r="B49" s="106" t="s">
        <v>19</v>
      </c>
      <c r="C49" s="107">
        <v>150</v>
      </c>
      <c r="D49" s="108">
        <v>112000</v>
      </c>
      <c r="E49" s="93"/>
      <c r="F49" s="107">
        <f t="shared" ref="F49:H75" si="5">($D49*$C49)/($C49/E$47)</f>
        <v>1344000</v>
      </c>
      <c r="G49" s="107">
        <f>1000/($C49/E$47)</f>
        <v>80</v>
      </c>
      <c r="H49" s="96"/>
      <c r="I49" s="107">
        <f>($D49*$C49)/($C49/H$47)</f>
        <v>2015999.9999999998</v>
      </c>
      <c r="J49" s="113">
        <f>1000/($C49/H$47)</f>
        <v>119.99999999999999</v>
      </c>
      <c r="K49" s="99"/>
      <c r="L49" s="107">
        <f>($D49*$C49)/($C49/K$47)</f>
        <v>2688000</v>
      </c>
      <c r="M49" s="107">
        <f>1000/($C49/K$47)</f>
        <v>160</v>
      </c>
    </row>
    <row r="50" spans="1:13" x14ac:dyDescent="0.25">
      <c r="B50" s="192" t="s">
        <v>32</v>
      </c>
      <c r="C50" s="82">
        <v>200</v>
      </c>
      <c r="D50" s="6">
        <v>30</v>
      </c>
      <c r="E50" s="93"/>
      <c r="F50" s="81">
        <f t="shared" si="5"/>
        <v>360</v>
      </c>
      <c r="G50" s="81"/>
      <c r="H50" s="96"/>
      <c r="I50" s="81">
        <f>($D50*$C50)/($C50/H$47)</f>
        <v>540</v>
      </c>
      <c r="J50" s="81"/>
      <c r="K50" s="99"/>
      <c r="L50" s="81">
        <f>($D50*$C50)/($C50/K$47)</f>
        <v>720</v>
      </c>
      <c r="M50" s="81"/>
    </row>
    <row r="51" spans="1:13" x14ac:dyDescent="0.25">
      <c r="A51" s="86" t="s">
        <v>65</v>
      </c>
      <c r="B51" s="102" t="s">
        <v>20</v>
      </c>
      <c r="C51" s="103">
        <v>200</v>
      </c>
      <c r="D51" s="104">
        <v>303000</v>
      </c>
      <c r="E51" s="93"/>
      <c r="F51" s="105">
        <f t="shared" si="5"/>
        <v>3635999.9999999995</v>
      </c>
      <c r="G51" s="105">
        <f t="shared" ref="G50:G51" si="6">1000/($C51/E$47)</f>
        <v>59.999999999999993</v>
      </c>
      <c r="H51" s="96"/>
      <c r="I51" s="105">
        <f>($D51*$C51)/($C51/H$47)</f>
        <v>5454000</v>
      </c>
      <c r="J51" s="105">
        <f t="shared" ref="J51:J52" si="7">1000/($C51/H$47)</f>
        <v>90</v>
      </c>
      <c r="K51" s="99"/>
      <c r="L51" s="105">
        <f>($D51*$C51)/($C51/K$47)</f>
        <v>7271999.9999999991</v>
      </c>
      <c r="M51" s="114">
        <f t="shared" ref="M51:M52" si="8">1000/($C51/K$47)</f>
        <v>119.99999999999999</v>
      </c>
    </row>
    <row r="52" spans="1:13" x14ac:dyDescent="0.25">
      <c r="B52" s="3" t="s">
        <v>33</v>
      </c>
      <c r="C52" s="82">
        <v>350</v>
      </c>
      <c r="D52" s="6">
        <v>35100</v>
      </c>
      <c r="E52" s="93"/>
      <c r="F52" s="81">
        <f t="shared" si="5"/>
        <v>421200</v>
      </c>
      <c r="G52" s="82"/>
      <c r="H52" s="96"/>
      <c r="I52" s="81">
        <f>($D52*$C52)/($C52/H$47)</f>
        <v>631800</v>
      </c>
      <c r="J52" s="82"/>
      <c r="K52" s="99"/>
      <c r="L52" s="81">
        <f>($D52*$C52)/($C52/K$47)</f>
        <v>842400</v>
      </c>
      <c r="M52" s="82"/>
    </row>
    <row r="53" spans="1:13" x14ac:dyDescent="0.25">
      <c r="B53" s="3" t="s">
        <v>34</v>
      </c>
      <c r="C53" s="82">
        <v>400</v>
      </c>
      <c r="D53" s="6">
        <v>133000</v>
      </c>
      <c r="E53" s="93"/>
      <c r="F53" s="81">
        <f t="shared" si="5"/>
        <v>1596000</v>
      </c>
      <c r="G53" s="82"/>
      <c r="H53" s="96"/>
      <c r="I53" s="81">
        <f>($D53*$C53)/($C53/H$47)</f>
        <v>2394000</v>
      </c>
      <c r="J53" s="82"/>
      <c r="K53" s="99"/>
      <c r="L53" s="81">
        <f>($D53*$C53)/($C53/K$47)</f>
        <v>3192000</v>
      </c>
      <c r="M53" s="82"/>
    </row>
    <row r="54" spans="1:13" x14ac:dyDescent="0.25">
      <c r="B54" s="3" t="s">
        <v>35</v>
      </c>
      <c r="C54" s="82">
        <v>600</v>
      </c>
      <c r="D54" s="6">
        <v>44400</v>
      </c>
      <c r="E54" s="93"/>
      <c r="F54" s="81">
        <f t="shared" si="5"/>
        <v>532800</v>
      </c>
      <c r="G54" s="82"/>
      <c r="H54" s="96"/>
      <c r="I54" s="81">
        <f>($D54*$C54)/($C54/H$47)</f>
        <v>799200</v>
      </c>
      <c r="J54" s="82"/>
      <c r="K54" s="99"/>
      <c r="L54" s="81">
        <f>($D54*$C54)/($C54/K$47)</f>
        <v>1065600</v>
      </c>
      <c r="M54" s="82"/>
    </row>
    <row r="55" spans="1:13" x14ac:dyDescent="0.25">
      <c r="B55" s="3" t="s">
        <v>36</v>
      </c>
      <c r="C55" s="82">
        <v>200</v>
      </c>
      <c r="D55" s="6">
        <v>50700</v>
      </c>
      <c r="E55" s="93"/>
      <c r="F55" s="81">
        <f t="shared" si="5"/>
        <v>608400</v>
      </c>
      <c r="G55" s="82"/>
      <c r="H55" s="96"/>
      <c r="I55" s="81">
        <f>($D55*$C55)/($C55/H$47)</f>
        <v>912600</v>
      </c>
      <c r="J55" s="82"/>
      <c r="K55" s="99"/>
      <c r="L55" s="81">
        <f>($D55*$C55)/($C55/K$47)</f>
        <v>1216800</v>
      </c>
      <c r="M55" s="82"/>
    </row>
    <row r="56" spans="1:13" x14ac:dyDescent="0.25">
      <c r="B56" s="3" t="s">
        <v>37</v>
      </c>
      <c r="C56" s="82">
        <v>250</v>
      </c>
      <c r="D56" s="6">
        <v>172000</v>
      </c>
      <c r="E56" s="93"/>
      <c r="F56" s="81">
        <f t="shared" si="5"/>
        <v>2064000.0000000002</v>
      </c>
      <c r="G56" s="82"/>
      <c r="H56" s="96"/>
      <c r="I56" s="81">
        <f>($D56*$C56)/($C56/H$47)</f>
        <v>3096000</v>
      </c>
      <c r="J56" s="82"/>
      <c r="K56" s="99"/>
      <c r="L56" s="81">
        <f>($D56*$C56)/($C56/K$47)</f>
        <v>4128000.0000000005</v>
      </c>
      <c r="M56" s="82"/>
    </row>
    <row r="57" spans="1:13" x14ac:dyDescent="0.25">
      <c r="B57" s="3" t="s">
        <v>38</v>
      </c>
      <c r="C57" s="82">
        <v>250</v>
      </c>
      <c r="D57" s="6">
        <v>225000</v>
      </c>
      <c r="E57" s="93"/>
      <c r="F57" s="81">
        <f t="shared" si="5"/>
        <v>2700000</v>
      </c>
      <c r="G57" s="82"/>
      <c r="H57" s="96"/>
      <c r="I57" s="81">
        <f>($D57*$C57)/($C57/H$47)</f>
        <v>4050000</v>
      </c>
      <c r="J57" s="82"/>
      <c r="K57" s="99"/>
      <c r="L57" s="81">
        <f>($D57*$C57)/($C57/K$47)</f>
        <v>5400000</v>
      </c>
      <c r="M57" s="82"/>
    </row>
    <row r="58" spans="1:13" x14ac:dyDescent="0.25">
      <c r="B58" s="3" t="s">
        <v>39</v>
      </c>
      <c r="C58" s="82">
        <v>400</v>
      </c>
      <c r="D58" s="6">
        <v>171000</v>
      </c>
      <c r="E58" s="93"/>
      <c r="F58" s="81">
        <f t="shared" si="5"/>
        <v>2051999.9999999998</v>
      </c>
      <c r="G58" s="82"/>
      <c r="H58" s="96"/>
      <c r="I58" s="81">
        <f>($D58*$C58)/($C58/H$47)</f>
        <v>3078000</v>
      </c>
      <c r="J58" s="82"/>
      <c r="K58" s="99"/>
      <c r="L58" s="81">
        <f>($D58*$C58)/($C58/K$47)</f>
        <v>4103999.9999999995</v>
      </c>
      <c r="M58" s="82"/>
    </row>
    <row r="59" spans="1:13" x14ac:dyDescent="0.25">
      <c r="B59" s="3" t="s">
        <v>40</v>
      </c>
      <c r="C59" s="82">
        <v>450</v>
      </c>
      <c r="D59" s="6">
        <v>85900</v>
      </c>
      <c r="E59" s="93"/>
      <c r="F59" s="81">
        <f t="shared" si="5"/>
        <v>1030800</v>
      </c>
      <c r="G59" s="82"/>
      <c r="H59" s="96"/>
      <c r="I59" s="81">
        <f>($D59*$C59)/($C59/H$47)</f>
        <v>1546200</v>
      </c>
      <c r="J59" s="82"/>
      <c r="K59" s="99"/>
      <c r="L59" s="81">
        <f>($D59*$C59)/($C59/K$47)</f>
        <v>2061600</v>
      </c>
      <c r="M59" s="82"/>
    </row>
    <row r="60" spans="1:13" x14ac:dyDescent="0.25">
      <c r="B60" s="3" t="s">
        <v>41</v>
      </c>
      <c r="C60" s="82">
        <v>650</v>
      </c>
      <c r="D60" s="6">
        <v>26100</v>
      </c>
      <c r="E60" s="93"/>
      <c r="F60" s="81">
        <f t="shared" si="5"/>
        <v>313200</v>
      </c>
      <c r="G60" s="82"/>
      <c r="H60" s="96"/>
      <c r="I60" s="81">
        <f>($D60*$C60)/($C60/H$47)</f>
        <v>469799.99999999994</v>
      </c>
      <c r="J60" s="82"/>
      <c r="K60" s="99"/>
      <c r="L60" s="81">
        <f>($D60*$C60)/($C60/K$47)</f>
        <v>626400</v>
      </c>
      <c r="M60" s="82"/>
    </row>
    <row r="61" spans="1:13" x14ac:dyDescent="0.25">
      <c r="B61" s="3" t="s">
        <v>42</v>
      </c>
      <c r="C61" s="82">
        <v>300</v>
      </c>
      <c r="D61" s="6">
        <v>90100</v>
      </c>
      <c r="E61" s="93"/>
      <c r="F61" s="81">
        <f t="shared" si="5"/>
        <v>1081200</v>
      </c>
      <c r="G61" s="82"/>
      <c r="H61" s="96"/>
      <c r="I61" s="81">
        <f>($D61*$C61)/($C61/H$47)</f>
        <v>1621800</v>
      </c>
      <c r="J61" s="82"/>
      <c r="K61" s="99"/>
      <c r="L61" s="81">
        <f>($D61*$C61)/($C61/K$47)</f>
        <v>2162400</v>
      </c>
      <c r="M61" s="82"/>
    </row>
    <row r="62" spans="1:13" x14ac:dyDescent="0.25">
      <c r="B62" s="3" t="s">
        <v>43</v>
      </c>
      <c r="C62" s="82">
        <v>300</v>
      </c>
      <c r="D62" s="6">
        <v>109000</v>
      </c>
      <c r="E62" s="93"/>
      <c r="F62" s="81">
        <f t="shared" si="5"/>
        <v>1308000</v>
      </c>
      <c r="G62" s="82"/>
      <c r="H62" s="96"/>
      <c r="I62" s="81">
        <f>($D62*$C62)/($C62/H$47)</f>
        <v>1961999.9999999998</v>
      </c>
      <c r="J62" s="82"/>
      <c r="K62" s="99"/>
      <c r="L62" s="81">
        <f>($D62*$C62)/($C62/K$47)</f>
        <v>2616000</v>
      </c>
      <c r="M62" s="82"/>
    </row>
    <row r="63" spans="1:13" x14ac:dyDescent="0.25">
      <c r="B63" s="3" t="s">
        <v>44</v>
      </c>
      <c r="C63" s="82">
        <v>450</v>
      </c>
      <c r="D63" s="6">
        <v>91500</v>
      </c>
      <c r="E63" s="93"/>
      <c r="F63" s="81">
        <f t="shared" si="5"/>
        <v>1098000</v>
      </c>
      <c r="G63" s="82"/>
      <c r="H63" s="96"/>
      <c r="I63" s="81">
        <f>($D63*$C63)/($C63/H$47)</f>
        <v>1647000</v>
      </c>
      <c r="J63" s="82"/>
      <c r="K63" s="99"/>
      <c r="L63" s="81">
        <f>($D63*$C63)/($C63/K$47)</f>
        <v>2196000</v>
      </c>
      <c r="M63" s="82"/>
    </row>
    <row r="64" spans="1:13" x14ac:dyDescent="0.25">
      <c r="B64" s="3" t="s">
        <v>45</v>
      </c>
      <c r="C64" s="82">
        <v>500</v>
      </c>
      <c r="D64" s="6">
        <v>43500</v>
      </c>
      <c r="E64" s="93"/>
      <c r="F64" s="81">
        <f t="shared" si="5"/>
        <v>522000.00000000006</v>
      </c>
      <c r="G64" s="82"/>
      <c r="H64" s="96"/>
      <c r="I64" s="81">
        <f>($D64*$C64)/($C64/H$47)</f>
        <v>783000</v>
      </c>
      <c r="J64" s="82"/>
      <c r="K64" s="99"/>
      <c r="L64" s="81">
        <f>($D64*$C64)/($C64/K$47)</f>
        <v>1044000.0000000001</v>
      </c>
      <c r="M64" s="82"/>
    </row>
    <row r="65" spans="2:13" x14ac:dyDescent="0.25">
      <c r="B65" s="192" t="s">
        <v>46</v>
      </c>
      <c r="C65" s="82">
        <v>700</v>
      </c>
      <c r="D65" s="6">
        <v>700</v>
      </c>
      <c r="E65" s="93"/>
      <c r="F65" s="81">
        <f t="shared" si="5"/>
        <v>8400</v>
      </c>
      <c r="G65" s="82"/>
      <c r="H65" s="96"/>
      <c r="I65" s="81">
        <f>($D65*$C65)/($C65/H$47)</f>
        <v>12600.000000000002</v>
      </c>
      <c r="J65" s="82"/>
      <c r="K65" s="99"/>
      <c r="L65" s="81">
        <f>($D65*$C65)/($C65/K$47)</f>
        <v>16800</v>
      </c>
      <c r="M65" s="82"/>
    </row>
    <row r="66" spans="2:13" x14ac:dyDescent="0.25">
      <c r="B66" s="3" t="s">
        <v>47</v>
      </c>
      <c r="C66" s="82">
        <v>300</v>
      </c>
      <c r="D66" s="6">
        <v>131000</v>
      </c>
      <c r="E66" s="93"/>
      <c r="F66" s="81">
        <f t="shared" si="5"/>
        <v>1572000</v>
      </c>
      <c r="G66" s="82"/>
      <c r="H66" s="96"/>
      <c r="I66" s="81">
        <f>($D66*$C66)/($C66/H$47)</f>
        <v>2358000</v>
      </c>
      <c r="J66" s="82"/>
      <c r="K66" s="99"/>
      <c r="L66" s="81">
        <f>($D66*$C66)/($C66/K$47)</f>
        <v>3144000</v>
      </c>
      <c r="M66" s="82"/>
    </row>
    <row r="67" spans="2:13" x14ac:dyDescent="0.25">
      <c r="B67" s="3" t="s">
        <v>48</v>
      </c>
      <c r="C67" s="82">
        <v>450</v>
      </c>
      <c r="D67" s="6">
        <v>115000</v>
      </c>
      <c r="E67" s="93"/>
      <c r="F67" s="81">
        <f t="shared" si="5"/>
        <v>1380000</v>
      </c>
      <c r="G67" s="82"/>
      <c r="H67" s="96"/>
      <c r="I67" s="81">
        <f>($D67*$C67)/($C67/H$47)</f>
        <v>2070000</v>
      </c>
      <c r="J67" s="82"/>
      <c r="K67" s="99"/>
      <c r="L67" s="81">
        <f>($D67*$C67)/($C67/K$47)</f>
        <v>2760000</v>
      </c>
      <c r="M67" s="82"/>
    </row>
    <row r="68" spans="2:13" x14ac:dyDescent="0.25">
      <c r="B68" s="3" t="s">
        <v>49</v>
      </c>
      <c r="C68" s="82">
        <v>500</v>
      </c>
      <c r="D68" s="6">
        <v>72700</v>
      </c>
      <c r="E68" s="93"/>
      <c r="F68" s="81">
        <f t="shared" si="5"/>
        <v>872400</v>
      </c>
      <c r="G68" s="82"/>
      <c r="H68" s="96"/>
      <c r="I68" s="81">
        <f>($D68*$C68)/($C68/H$47)</f>
        <v>1308600</v>
      </c>
      <c r="J68" s="82"/>
      <c r="K68" s="99"/>
      <c r="L68" s="81">
        <f>($D68*$C68)/($C68/K$47)</f>
        <v>1744800</v>
      </c>
      <c r="M68" s="82"/>
    </row>
    <row r="69" spans="2:13" x14ac:dyDescent="0.25">
      <c r="B69" s="192" t="s">
        <v>50</v>
      </c>
      <c r="C69" s="82">
        <v>700</v>
      </c>
      <c r="D69" s="6">
        <v>14000</v>
      </c>
      <c r="E69" s="93"/>
      <c r="F69" s="81">
        <f t="shared" si="5"/>
        <v>168000</v>
      </c>
      <c r="G69" s="82"/>
      <c r="H69" s="96"/>
      <c r="I69" s="81">
        <f>($D69*$C69)/($C69/H$47)</f>
        <v>252000.00000000003</v>
      </c>
      <c r="J69" s="82"/>
      <c r="K69" s="99"/>
      <c r="L69" s="81">
        <f>($D69*$C69)/($C69/K$47)</f>
        <v>336000</v>
      </c>
      <c r="M69" s="82"/>
    </row>
    <row r="70" spans="2:13" x14ac:dyDescent="0.25">
      <c r="B70" s="3" t="s">
        <v>51</v>
      </c>
      <c r="C70" s="82">
        <v>600</v>
      </c>
      <c r="D70" s="6">
        <v>106000</v>
      </c>
      <c r="E70" s="93"/>
      <c r="F70" s="81">
        <f t="shared" si="5"/>
        <v>1272000</v>
      </c>
      <c r="G70" s="82"/>
      <c r="H70" s="96"/>
      <c r="I70" s="81">
        <f>($D70*$C70)/($C70/H$47)</f>
        <v>1907999.9999999998</v>
      </c>
      <c r="J70" s="82"/>
      <c r="K70" s="99"/>
      <c r="L70" s="81">
        <f>($D70*$C70)/($C70/K$47)</f>
        <v>2544000</v>
      </c>
      <c r="M70" s="82"/>
    </row>
    <row r="71" spans="2:13" x14ac:dyDescent="0.25">
      <c r="B71" s="3" t="s">
        <v>52</v>
      </c>
      <c r="C71" s="82">
        <v>650</v>
      </c>
      <c r="D71" s="6">
        <v>55200</v>
      </c>
      <c r="E71" s="93"/>
      <c r="F71" s="81">
        <f t="shared" si="5"/>
        <v>662400</v>
      </c>
      <c r="G71" s="82"/>
      <c r="H71" s="96"/>
      <c r="I71" s="81">
        <f>($D71*$C71)/($C71/H$47)</f>
        <v>993599.99999999988</v>
      </c>
      <c r="J71" s="82"/>
      <c r="K71" s="99"/>
      <c r="L71" s="81">
        <f>($D71*$C71)/($C71/K$47)</f>
        <v>1324800</v>
      </c>
      <c r="M71" s="82"/>
    </row>
    <row r="72" spans="2:13" x14ac:dyDescent="0.25">
      <c r="B72" s="192" t="s">
        <v>53</v>
      </c>
      <c r="C72" s="82">
        <v>850</v>
      </c>
      <c r="D72" s="6">
        <v>15700</v>
      </c>
      <c r="E72" s="93"/>
      <c r="F72" s="81">
        <f t="shared" si="5"/>
        <v>188400</v>
      </c>
      <c r="G72" s="82"/>
      <c r="H72" s="96"/>
      <c r="I72" s="81">
        <f>($D72*$C72)/($C72/H$47)</f>
        <v>282600</v>
      </c>
      <c r="J72" s="82"/>
      <c r="K72" s="99"/>
      <c r="L72" s="81">
        <f>($D72*$C72)/($C72/K$47)</f>
        <v>376800</v>
      </c>
      <c r="M72" s="82"/>
    </row>
    <row r="73" spans="2:13" x14ac:dyDescent="0.25">
      <c r="B73" s="3" t="s">
        <v>54</v>
      </c>
      <c r="C73" s="82">
        <v>700</v>
      </c>
      <c r="D73" s="6">
        <v>22900</v>
      </c>
      <c r="E73" s="93"/>
      <c r="F73" s="81">
        <f t="shared" si="5"/>
        <v>274800</v>
      </c>
      <c r="G73" s="82"/>
      <c r="H73" s="96"/>
      <c r="I73" s="81">
        <f>($D73*$C73)/($C73/H$47)</f>
        <v>412200.00000000006</v>
      </c>
      <c r="J73" s="82"/>
      <c r="K73" s="99"/>
      <c r="L73" s="81">
        <f>($D73*$C73)/($C73/K$47)</f>
        <v>549600</v>
      </c>
      <c r="M73" s="82"/>
    </row>
    <row r="74" spans="2:13" x14ac:dyDescent="0.25">
      <c r="B74" s="192" t="s">
        <v>55</v>
      </c>
      <c r="C74" s="82">
        <v>900</v>
      </c>
      <c r="D74" s="6">
        <v>45</v>
      </c>
      <c r="E74" s="93"/>
      <c r="F74" s="81">
        <f t="shared" si="5"/>
        <v>540</v>
      </c>
      <c r="G74" s="82"/>
      <c r="H74" s="96"/>
      <c r="I74" s="81">
        <f>($D74*$C74)/($C74/H$47)</f>
        <v>810</v>
      </c>
      <c r="J74" s="82"/>
      <c r="K74" s="99"/>
      <c r="L74" s="81">
        <f>($D74*$C74)/($C74/K$47)</f>
        <v>1080</v>
      </c>
      <c r="M74" s="82"/>
    </row>
    <row r="75" spans="2:13" x14ac:dyDescent="0.25">
      <c r="B75" s="193" t="s">
        <v>56</v>
      </c>
      <c r="C75" s="83">
        <v>1100</v>
      </c>
      <c r="D75" s="7">
        <v>5</v>
      </c>
      <c r="E75" s="94"/>
      <c r="F75" s="87">
        <f t="shared" si="5"/>
        <v>60</v>
      </c>
      <c r="G75" s="83"/>
      <c r="H75" s="97"/>
      <c r="I75" s="87">
        <f>($D75*$C75)/($C75/H$47)</f>
        <v>90</v>
      </c>
      <c r="J75" s="83"/>
      <c r="K75" s="100"/>
      <c r="L75" s="87">
        <f>($D75*$C75)/($C75/K$47)</f>
        <v>120</v>
      </c>
      <c r="M75" s="83"/>
    </row>
    <row r="76" spans="2:13" ht="15.75" thickBot="1" x14ac:dyDescent="0.3"/>
    <row r="77" spans="2:13" ht="15" customHeight="1" x14ac:dyDescent="0.25">
      <c r="B77" s="149"/>
      <c r="C77" s="149"/>
      <c r="D77" s="5"/>
      <c r="F77" s="115" t="s">
        <v>71</v>
      </c>
      <c r="G77" s="116"/>
      <c r="H77" s="116"/>
      <c r="I77" s="116"/>
      <c r="J77" s="117"/>
    </row>
    <row r="78" spans="2:13" ht="15.75" thickBot="1" x14ac:dyDescent="0.3">
      <c r="B78" s="5"/>
      <c r="C78" s="5"/>
      <c r="D78" s="5"/>
      <c r="F78" s="118"/>
      <c r="G78" s="119"/>
      <c r="H78" s="119"/>
      <c r="I78" s="119"/>
      <c r="J78" s="120"/>
    </row>
    <row r="79" spans="2:13" x14ac:dyDescent="0.25">
      <c r="B79" s="188"/>
      <c r="C79" s="188"/>
      <c r="D79" s="5"/>
      <c r="F79" s="115" t="str">
        <f>"Since you produce " &amp; G48 &amp; "mb/t of Deuterium in the H-H Reactor. You can supply a H-D Reactor needing " &amp; J49 &amp; "mb/t Deuterium. And hence supply a H-He3 Reactor with the " &amp; M51 &amp; "mb/t Helium-3 from Reactor 2"</f>
        <v>Since you produce 120mb/t of Deuterium in the H-H Reactor. You can supply a H-D Reactor needing 120mb/t Deuterium. And hence supply a H-He3 Reactor with the 120mb/t Helium-3 from Reactor 2</v>
      </c>
      <c r="G79" s="116"/>
      <c r="H79" s="116"/>
      <c r="I79" s="116"/>
      <c r="J79" s="117"/>
    </row>
    <row r="80" spans="2:13" x14ac:dyDescent="0.25">
      <c r="B80" s="188"/>
      <c r="C80" s="188"/>
      <c r="D80" s="5"/>
      <c r="F80" s="151"/>
      <c r="G80" s="67"/>
      <c r="H80" s="67"/>
      <c r="I80" s="67"/>
      <c r="J80" s="152"/>
    </row>
    <row r="81" spans="1:11" ht="15.75" thickBot="1" x14ac:dyDescent="0.3">
      <c r="B81" s="5"/>
      <c r="C81" s="5"/>
      <c r="D81" s="5"/>
      <c r="F81" s="118"/>
      <c r="G81" s="119"/>
      <c r="H81" s="119"/>
      <c r="I81" s="119"/>
      <c r="J81" s="120"/>
    </row>
    <row r="82" spans="1:11" x14ac:dyDescent="0.25">
      <c r="F82" s="153" t="s">
        <v>72</v>
      </c>
      <c r="G82" s="154"/>
      <c r="H82" s="154"/>
      <c r="I82" s="154" t="str">
        <f>M51+J49+2*G48 &amp; "mb/t"</f>
        <v>480mb/t</v>
      </c>
      <c r="J82" s="155"/>
    </row>
    <row r="83" spans="1:11" ht="15.75" thickBot="1" x14ac:dyDescent="0.3">
      <c r="F83" s="156"/>
      <c r="G83" s="157"/>
      <c r="H83" s="157"/>
      <c r="I83" s="157"/>
      <c r="J83" s="158"/>
    </row>
    <row r="84" spans="1:11" ht="15.75" thickBot="1" x14ac:dyDescent="0.3"/>
    <row r="85" spans="1:11" ht="15.75" thickBot="1" x14ac:dyDescent="0.3">
      <c r="B85" s="165" t="s">
        <v>80</v>
      </c>
      <c r="C85" s="166"/>
      <c r="D85" s="150"/>
      <c r="E85" s="150"/>
      <c r="F85" s="165" t="s">
        <v>73</v>
      </c>
      <c r="G85" s="166"/>
      <c r="H85" s="150"/>
      <c r="I85" s="150"/>
      <c r="J85" s="178" t="s">
        <v>21</v>
      </c>
      <c r="K85" s="179"/>
    </row>
    <row r="86" spans="1:11" x14ac:dyDescent="0.25">
      <c r="A86" s="5"/>
      <c r="B86" s="5"/>
      <c r="C86" s="5"/>
      <c r="D86" s="5"/>
      <c r="E86" s="5"/>
      <c r="F86" s="5"/>
      <c r="G86" s="5"/>
      <c r="H86" s="5"/>
      <c r="I86" s="5"/>
    </row>
    <row r="87" spans="1:11" ht="15" customHeight="1" x14ac:dyDescent="0.25">
      <c r="A87" s="5"/>
      <c r="B87" s="159" t="s">
        <v>77</v>
      </c>
      <c r="C87" s="160" t="s">
        <v>76</v>
      </c>
      <c r="D87" s="161" t="s">
        <v>78</v>
      </c>
      <c r="E87" s="5"/>
      <c r="F87" s="172" t="s">
        <v>83</v>
      </c>
      <c r="G87" s="160" t="s">
        <v>81</v>
      </c>
      <c r="H87" s="161" t="s">
        <v>82</v>
      </c>
      <c r="J87" s="184" t="str">
        <f>"+ "&amp;F48+I49+L51&amp;" RF/t"</f>
        <v>+ 9818400 RF/t</v>
      </c>
      <c r="K87" s="185"/>
    </row>
    <row r="88" spans="1:11" x14ac:dyDescent="0.25">
      <c r="A88" s="5"/>
      <c r="B88" s="162"/>
      <c r="C88" s="163"/>
      <c r="D88" s="164"/>
      <c r="E88" s="5"/>
      <c r="F88" s="175"/>
      <c r="G88" s="163"/>
      <c r="H88" s="164"/>
      <c r="J88" s="186"/>
      <c r="K88" s="187"/>
    </row>
    <row r="89" spans="1:11" x14ac:dyDescent="0.25">
      <c r="A89" s="149"/>
      <c r="B89" s="167" t="s">
        <v>74</v>
      </c>
      <c r="C89" s="148" t="s">
        <v>75</v>
      </c>
      <c r="D89" s="168"/>
      <c r="E89" s="149"/>
      <c r="F89" s="173"/>
      <c r="G89" s="149"/>
      <c r="H89" s="6"/>
      <c r="J89" s="180" t="str">
        <f>"- "&amp;2600*F90+200*32*(E47+2)+200*32*(H47+2)+200*32*(K47+2)&amp;" RF/t"</f>
        <v>- 490600 RF/t</v>
      </c>
      <c r="K89" s="181"/>
    </row>
    <row r="90" spans="1:11" x14ac:dyDescent="0.25">
      <c r="A90" s="149"/>
      <c r="B90" s="169" t="str">
        <f>ROUND(950/(240*20),3) &amp;" mb/t "</f>
        <v xml:space="preserve">0,198 mb/t </v>
      </c>
      <c r="C90" s="170" t="str">
        <f>ROUND(950/(4*20),3) &amp;" mb/t "</f>
        <v xml:space="preserve">11,875 mb/t </v>
      </c>
      <c r="D90" s="171" t="s">
        <v>79</v>
      </c>
      <c r="E90" s="149"/>
      <c r="F90" s="177">
        <f>ROUNDUP((M51+J49+2*G48)/(950/(4*20)),0)</f>
        <v>41</v>
      </c>
      <c r="G90" s="174" t="str">
        <f>F90*2600 &amp;" RF/t"</f>
        <v>106600 RF/t</v>
      </c>
      <c r="H90" s="7">
        <f>F90*64</f>
        <v>2624</v>
      </c>
      <c r="J90" s="182"/>
      <c r="K90" s="183"/>
    </row>
    <row r="91" spans="1:11" x14ac:dyDescent="0.25">
      <c r="A91" s="5"/>
      <c r="B91" s="5"/>
      <c r="C91" s="5"/>
      <c r="D91" s="5"/>
      <c r="E91" s="5"/>
      <c r="F91" s="5"/>
      <c r="G91" s="5"/>
      <c r="H91" s="5"/>
      <c r="I91" s="5"/>
    </row>
    <row r="92" spans="1:11" x14ac:dyDescent="0.25">
      <c r="A92" s="5"/>
      <c r="B92" s="5"/>
      <c r="C92" s="5"/>
      <c r="D92" s="148"/>
      <c r="E92" s="5"/>
      <c r="F92" s="5"/>
      <c r="G92" s="5"/>
      <c r="H92" s="5"/>
      <c r="I92" s="5"/>
    </row>
    <row r="93" spans="1:11" x14ac:dyDescent="0.25">
      <c r="A93" s="5"/>
      <c r="B93" s="5"/>
      <c r="C93" s="5"/>
      <c r="D93" s="148"/>
      <c r="E93" s="5"/>
      <c r="F93" s="5"/>
      <c r="G93" s="5"/>
      <c r="H93" s="5"/>
      <c r="I93" s="5"/>
    </row>
    <row r="94" spans="1:11" x14ac:dyDescent="0.25">
      <c r="A94" s="5"/>
      <c r="B94" s="5"/>
      <c r="C94" s="5"/>
      <c r="D94" s="148"/>
      <c r="E94" s="5"/>
      <c r="F94" s="5"/>
      <c r="G94" s="5"/>
      <c r="H94" s="5"/>
      <c r="I94" s="5"/>
    </row>
    <row r="95" spans="1:11" x14ac:dyDescent="0.25">
      <c r="A95" s="5"/>
      <c r="B95" s="5"/>
      <c r="C95" s="5"/>
      <c r="D95" s="5"/>
      <c r="E95" s="5"/>
      <c r="F95" s="5"/>
      <c r="G95" s="5"/>
      <c r="H95" s="5"/>
      <c r="I95" s="5"/>
    </row>
    <row r="96" spans="1:11" x14ac:dyDescent="0.25">
      <c r="A96" s="5"/>
      <c r="B96" s="5"/>
      <c r="C96" s="5"/>
      <c r="D96" s="5"/>
      <c r="E96" s="5"/>
      <c r="F96" s="5"/>
      <c r="G96" s="5"/>
      <c r="H96" s="5"/>
      <c r="I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8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176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</sheetData>
  <scenarios current="0">
    <scenario name="Water" count="1" user="Lizzard" comment="Created by Lizzard on 06.06.2022">
      <inputCells r="D30" val="200"/>
    </scenario>
  </scenarios>
  <sortState xmlns:xlrd2="http://schemas.microsoft.com/office/spreadsheetml/2017/richdata2" ref="B30:C44">
    <sortCondition ref="C30:C44"/>
  </sortState>
  <mergeCells count="42">
    <mergeCell ref="J89:K90"/>
    <mergeCell ref="F42:J42"/>
    <mergeCell ref="B87:B88"/>
    <mergeCell ref="C87:C88"/>
    <mergeCell ref="D87:D88"/>
    <mergeCell ref="B85:C85"/>
    <mergeCell ref="F85:G85"/>
    <mergeCell ref="F87:F88"/>
    <mergeCell ref="H87:H88"/>
    <mergeCell ref="G87:G88"/>
    <mergeCell ref="J85:K85"/>
    <mergeCell ref="J87:K88"/>
    <mergeCell ref="F79:J81"/>
    <mergeCell ref="F82:H83"/>
    <mergeCell ref="I82:J83"/>
    <mergeCell ref="K48:K75"/>
    <mergeCell ref="M46:M47"/>
    <mergeCell ref="H48:H75"/>
    <mergeCell ref="F35:J36"/>
    <mergeCell ref="F29:J30"/>
    <mergeCell ref="F38:J40"/>
    <mergeCell ref="F32:J33"/>
    <mergeCell ref="B46:B47"/>
    <mergeCell ref="C46:C47"/>
    <mergeCell ref="D46:D47"/>
    <mergeCell ref="F46:F47"/>
    <mergeCell ref="G46:G47"/>
    <mergeCell ref="I46:I47"/>
    <mergeCell ref="J46:J47"/>
    <mergeCell ref="E48:E75"/>
    <mergeCell ref="F77:J78"/>
    <mergeCell ref="A26:A27"/>
    <mergeCell ref="I26:I27"/>
    <mergeCell ref="J26:J27"/>
    <mergeCell ref="K26:L27"/>
    <mergeCell ref="E26:E27"/>
    <mergeCell ref="B26:B27"/>
    <mergeCell ref="C26:C27"/>
    <mergeCell ref="D26:D27"/>
    <mergeCell ref="F26:F27"/>
    <mergeCell ref="H26:H27"/>
    <mergeCell ref="G26:G27"/>
  </mergeCells>
  <phoneticPr fontId="1" type="noConversion"/>
  <dataValidations count="2">
    <dataValidation type="list" allowBlank="1" showInputMessage="1" promptTitle="Coolant" sqref="D30" xr:uid="{D9E83C45-DBE9-426D-8403-6DD3AAF765FD}">
      <formula1>$B$30:$B$44</formula1>
    </dataValidation>
    <dataValidation type="list" allowBlank="1" showInputMessage="1" sqref="E47 H47 K47" xr:uid="{58A285E8-82FE-4D0D-AF81-68B73CEA3CCF}">
      <formula1>$A$1:$A$24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5 j G V B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G e Y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m M Z U K I p H u A 4 A A A A R A A A A E w A c A E Z v c m 1 1 b G F z L 1 N l Y 3 R p b 2 4 x L m 0 g o h g A K K A U A A A A A A A A A A A A A A A A A A A A A A A A A A A A K 0 5 N L s n M z 1 M I h t C G 1 g B Q S w E C L Q A U A A I A C A B n m M Z U E w S B S 6 U A A A D 1 A A A A E g A A A A A A A A A A A A A A A A A A A A A A Q 2 9 u Z m l n L 1 B h Y 2 t h Z 2 U u e G 1 s U E s B A i 0 A F A A C A A g A Z 5 j G V A / K 6 a u k A A A A 6 Q A A A B M A A A A A A A A A A A A A A A A A 8 Q A A A F t D b 2 5 0 Z W 5 0 X 1 R 5 c G V z X S 5 4 b W x Q S w E C L Q A U A A I A C A B n m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L x I 9 f 4 L b k K d w u Z i o + P L T Q A A A A A C A A A A A A A Q Z g A A A A E A A C A A A A A O 7 7 z T H V h Z 0 b F u k S x y 0 Q Q A h x b a W U c q O b Z F A d w 8 4 k T Z T g A A A A A O g A A A A A I A A C A A A A B i O c z s P 5 j O 2 Y 8 t 5 P Z 7 q e S r V A y Y O 8 B g 1 t D 3 1 c h W t g 3 S + l A A A A C L B L w R 5 R e G 5 W o / D T c 0 o k x X T q K 1 L d z e q J e s f S 4 1 D Q W z Z h U X c 7 8 1 y A 4 O G 1 v a z j d G b 1 c P E X + Q P F E U T V J c 5 3 2 9 F h 7 P 3 L q b W 8 E S m e 3 d G o h g Q H a w k E A A A A D Y L 2 U Q 1 N / Y A o L H Z q Z B s R n L w Q 7 d X f a s y z X m e o j Y k j b W a j v 5 G h o O / 6 1 e n z T K R N g p c F 9 9 P 8 + F n P T v D / O V W 0 + V a 6 Q D < / D a t a M a s h u p > 
</file>

<file path=customXml/itemProps1.xml><?xml version="1.0" encoding="utf-8"?>
<ds:datastoreItem xmlns:ds="http://schemas.openxmlformats.org/officeDocument/2006/customXml" ds:itemID="{156648FA-4243-4230-AFC2-D1804F8153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Lizzard</dc:creator>
  <cp:lastModifiedBy>Lizzard</cp:lastModifiedBy>
  <dcterms:created xsi:type="dcterms:W3CDTF">2022-06-06T16:03:01Z</dcterms:created>
  <dcterms:modified xsi:type="dcterms:W3CDTF">2022-06-07T17:43:52Z</dcterms:modified>
</cp:coreProperties>
</file>