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Default Extension="svg" ContentType="image/sv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drawings/drawing22.xml" ContentType="application/vnd.openxmlformats-officedocument.drawing+xml"/>
  <Override PartName="/xl/drawings/drawing2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jpeg" ContentType="image/jpeg"/>
  <Override PartName="/xl/drawings/drawing5.xml" ContentType="application/vnd.openxmlformats-officedocument.drawing+xml"/>
  <Default Extension="emf" ContentType="image/x-emf"/>
  <Override PartName="/xl/drawings/drawing18.xml" ContentType="application/vnd.openxmlformats-officedocument.drawing+xml"/>
  <Override PartName="/xl/drawings/drawing27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drawings/drawing23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05" yWindow="-105" windowWidth="23250" windowHeight="12570" tabRatio="941" firstSheet="18" activeTab="19"/>
  </bookViews>
  <sheets>
    <sheet name="Structure" sheetId="52" r:id="rId1"/>
    <sheet name="Summary id" sheetId="61" r:id="rId2"/>
    <sheet name="TBi advise" sheetId="59" r:id="rId3"/>
    <sheet name="Summary v5" sheetId="63" r:id="rId4"/>
    <sheet name="Chart" sheetId="64" r:id="rId5"/>
    <sheet name="Sheet1" sheetId="65" r:id="rId6"/>
    <sheet name="TBi" sheetId="14" r:id="rId7"/>
    <sheet name="Project " sheetId="57" r:id="rId8"/>
    <sheet name="Intro" sheetId="42" r:id="rId9"/>
    <sheet name="Selection" sheetId="13" r:id="rId10"/>
    <sheet name="Safety report" sheetId="43" r:id="rId11"/>
    <sheet name="Maintenance report" sheetId="44" r:id="rId12"/>
    <sheet name="basic report " sheetId="51" r:id="rId13"/>
    <sheet name="Surface" sheetId="5" r:id="rId14"/>
    <sheet name="Pipe" sheetId="10" r:id="rId15"/>
    <sheet name="Flange" sheetId="27" r:id="rId16"/>
    <sheet name="Valve" sheetId="28" r:id="rId17"/>
    <sheet name="Unknow surface" sheetId="29" r:id="rId18"/>
    <sheet name="I Surface" sheetId="17" r:id="rId19"/>
    <sheet name="I Pipe" sheetId="19" r:id="rId20"/>
    <sheet name="I surface cold" sheetId="68" r:id="rId21"/>
    <sheet name="I pipe cold" sheetId="67" r:id="rId22"/>
    <sheet name="Insulated Unknown surface" sheetId="33" r:id="rId23"/>
    <sheet name="Cold Insulated" sheetId="66" r:id="rId24"/>
    <sheet name="Damaged" sheetId="31" r:id="rId25"/>
    <sheet name="Energy" sheetId="34" r:id="rId26"/>
    <sheet name="Condensation" sheetId="35" r:id="rId27"/>
    <sheet name="Leakage" sheetId="47" r:id="rId28"/>
    <sheet name="Summary default values " sheetId="58" r:id="rId29"/>
    <sheet name="Default values " sheetId="4" r:id="rId30"/>
    <sheet name="Warning list " sheetId="16" r:id="rId31"/>
    <sheet name="todo" sheetId="38" r:id="rId32"/>
    <sheet name="Andreas" sheetId="39" r:id="rId33"/>
  </sheets>
  <externalReferences>
    <externalReference r:id="rId34"/>
  </externalReferences>
  <definedNames>
    <definedName name="_3000_hours">'Default values '!$F$2:$F$6</definedName>
    <definedName name="emissivity">'Default values '!$A$2:$A$8</definedName>
    <definedName name="operational_time">'Default values '!$C$2:$C$11</definedName>
    <definedName name="Safety_risk">'Default values '!$F$1:$F$6</definedName>
    <definedName name="Surface_emisivity">'Default values '!$A$3:$A$8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7" i="68"/>
  <c r="F47"/>
  <c r="E47"/>
  <c r="F46"/>
  <c r="E46"/>
  <c r="D46"/>
  <c r="D47" s="1"/>
  <c r="C46"/>
  <c r="C47" s="1"/>
  <c r="I45"/>
  <c r="I46" s="1"/>
  <c r="I47" s="1"/>
  <c r="F45"/>
  <c r="E45"/>
  <c r="D45"/>
  <c r="C45"/>
  <c r="A45"/>
  <c r="M25"/>
  <c r="H17"/>
  <c r="G45" s="1"/>
  <c r="P5"/>
  <c r="H45" s="1"/>
  <c r="H46" s="1"/>
  <c r="H47" s="1"/>
  <c r="J45" l="1"/>
  <c r="K45"/>
  <c r="J46"/>
  <c r="K46"/>
  <c r="P130" i="67"/>
  <c r="P129"/>
  <c r="P128"/>
  <c r="X52"/>
  <c r="I46"/>
  <c r="H46"/>
  <c r="O48" s="1"/>
  <c r="G46"/>
  <c r="K45"/>
  <c r="K46" s="1"/>
  <c r="H45"/>
  <c r="G45"/>
  <c r="F45"/>
  <c r="F46" s="1"/>
  <c r="E45"/>
  <c r="E46" s="1"/>
  <c r="E47" s="1"/>
  <c r="D45"/>
  <c r="C45"/>
  <c r="A45"/>
  <c r="M25"/>
  <c r="H17"/>
  <c r="I45" s="1"/>
  <c r="L45" s="1"/>
  <c r="Q16"/>
  <c r="Q14"/>
  <c r="M14"/>
  <c r="P5"/>
  <c r="J45" s="1"/>
  <c r="J46" s="1"/>
  <c r="L45" i="68" l="1"/>
  <c r="M45" s="1"/>
  <c r="L46"/>
  <c r="F47" i="67"/>
  <c r="M45"/>
  <c r="P45" s="1"/>
  <c r="Q45" s="1"/>
  <c r="R45" s="1"/>
  <c r="W57"/>
  <c r="X57" s="1"/>
  <c r="Y57" s="1"/>
  <c r="N45"/>
  <c r="D46"/>
  <c r="L46"/>
  <c r="O45"/>
  <c r="O46"/>
  <c r="M46" i="68" l="1"/>
  <c r="N46" s="1"/>
  <c r="O46" s="1"/>
  <c r="M47"/>
  <c r="R46" i="67"/>
  <c r="R47"/>
  <c r="T45" i="68"/>
  <c r="N45"/>
  <c r="O45" s="1"/>
  <c r="O14"/>
  <c r="S45" i="67"/>
  <c r="W45"/>
  <c r="Y45" s="1"/>
  <c r="Y58"/>
  <c r="D47"/>
  <c r="M46"/>
  <c r="N48"/>
  <c r="N46"/>
  <c r="S9" i="66"/>
  <c r="T9" s="1"/>
  <c r="R9"/>
  <c r="S8"/>
  <c r="T8" s="1"/>
  <c r="R8"/>
  <c r="T7"/>
  <c r="S7"/>
  <c r="N47" i="68" l="1"/>
  <c r="T47"/>
  <c r="T46"/>
  <c r="P48"/>
  <c r="O18"/>
  <c r="Q18" s="1"/>
  <c r="O16"/>
  <c r="Q16" s="1"/>
  <c r="Q48"/>
  <c r="O20" s="1"/>
  <c r="Q20" s="1"/>
  <c r="M14"/>
  <c r="M18"/>
  <c r="Q14"/>
  <c r="X45" i="67"/>
  <c r="P46"/>
  <c r="P48"/>
  <c r="O14"/>
  <c r="T45"/>
  <c r="H17" i="63"/>
  <c r="H16"/>
  <c r="E16"/>
  <c r="H14"/>
  <c r="H13"/>
  <c r="E13"/>
  <c r="H12"/>
  <c r="E12"/>
  <c r="H11"/>
  <c r="H10"/>
  <c r="E10"/>
  <c r="H8"/>
  <c r="H7"/>
  <c r="E7"/>
  <c r="J45" i="5"/>
  <c r="J46" s="1"/>
  <c r="J47" s="1"/>
  <c r="O47" i="68" l="1"/>
  <c r="Q49" s="1"/>
  <c r="P20" s="1"/>
  <c r="P49"/>
  <c r="P18" s="1"/>
  <c r="O16" i="67"/>
  <c r="Q48"/>
  <c r="R48" s="1"/>
  <c r="Q46"/>
  <c r="E26" i="58"/>
  <c r="E27"/>
  <c r="E28"/>
  <c r="E29"/>
  <c r="E30"/>
  <c r="E31"/>
  <c r="E25"/>
  <c r="S46" i="67" l="1"/>
  <c r="W46"/>
  <c r="X46" s="1"/>
  <c r="H17" i="28"/>
  <c r="T46" i="67" l="1"/>
  <c r="V48" s="1"/>
  <c r="U48"/>
  <c r="S47"/>
  <c r="W47"/>
  <c r="X47" s="1"/>
  <c r="U11" i="66"/>
  <c r="U10"/>
  <c r="C25" i="63"/>
  <c r="C27" s="1"/>
  <c r="G45"/>
  <c r="G46"/>
  <c r="K45"/>
  <c r="I45"/>
  <c r="E45"/>
  <c r="C45"/>
  <c r="K44"/>
  <c r="I44"/>
  <c r="G44"/>
  <c r="E44"/>
  <c r="C37"/>
  <c r="C36"/>
  <c r="C35"/>
  <c r="K46"/>
  <c r="I46"/>
  <c r="E46"/>
  <c r="C46"/>
  <c r="C44"/>
  <c r="G35"/>
  <c r="I35"/>
  <c r="K35"/>
  <c r="G36"/>
  <c r="I36"/>
  <c r="K36"/>
  <c r="G37"/>
  <c r="I37"/>
  <c r="K37"/>
  <c r="E37"/>
  <c r="E36"/>
  <c r="E35"/>
  <c r="G23"/>
  <c r="G25" s="1"/>
  <c r="G27" s="1"/>
  <c r="I23"/>
  <c r="I25" s="1"/>
  <c r="I27" s="1"/>
  <c r="K23"/>
  <c r="K25" s="1"/>
  <c r="K27" s="1"/>
  <c r="E25"/>
  <c r="E27" s="1"/>
  <c r="T47" i="67" l="1"/>
  <c r="V49" s="1"/>
  <c r="P20" s="1"/>
  <c r="U49"/>
  <c r="P18" s="1"/>
  <c r="O18"/>
  <c r="Q20"/>
  <c r="M18"/>
  <c r="Q18"/>
  <c r="O20"/>
  <c r="V10" i="66"/>
  <c r="V11"/>
  <c r="H15" i="63"/>
  <c r="E9"/>
  <c r="E6"/>
  <c r="H9"/>
  <c r="H6"/>
  <c r="E15" l="1"/>
  <c r="I46" i="19"/>
  <c r="R72" i="28" l="1"/>
  <c r="P130" i="19" l="1"/>
  <c r="P129"/>
  <c r="P128"/>
  <c r="Q120" i="28"/>
  <c r="Q119"/>
  <c r="Q118"/>
  <c r="L45"/>
  <c r="L46" s="1"/>
  <c r="L47" s="1"/>
  <c r="L47" i="27"/>
  <c r="L46"/>
  <c r="L45"/>
  <c r="Q120"/>
  <c r="Q119"/>
  <c r="Q118"/>
  <c r="C63" i="5"/>
  <c r="K104" i="33" l="1"/>
  <c r="P118" i="10"/>
  <c r="P119"/>
  <c r="E14" i="58"/>
  <c r="P120" i="10" l="1"/>
  <c r="K45" i="28" l="1"/>
  <c r="E47" i="17" l="1"/>
  <c r="F47"/>
  <c r="G47"/>
  <c r="M47"/>
  <c r="C40" i="29"/>
  <c r="P5" i="5"/>
  <c r="H45" s="1"/>
  <c r="F45"/>
  <c r="E45"/>
  <c r="C45"/>
  <c r="A45"/>
  <c r="E49" l="1"/>
  <c r="F52"/>
  <c r="F49"/>
  <c r="F50" s="1"/>
  <c r="F51" s="1"/>
  <c r="L45"/>
  <c r="E52"/>
  <c r="Q4" i="47"/>
  <c r="E50" i="5" l="1"/>
  <c r="E51" s="1"/>
  <c r="E54" s="1"/>
  <c r="R71" i="28"/>
  <c r="C63"/>
  <c r="K46"/>
  <c r="K47" s="1"/>
  <c r="H45"/>
  <c r="H46" s="1"/>
  <c r="H47" s="1"/>
  <c r="G45"/>
  <c r="E45"/>
  <c r="E46" s="1"/>
  <c r="E47" s="1"/>
  <c r="C45"/>
  <c r="D45" s="1"/>
  <c r="A45"/>
  <c r="Q20"/>
  <c r="Q16"/>
  <c r="Q14"/>
  <c r="P5"/>
  <c r="F49" l="1"/>
  <c r="F50" s="1"/>
  <c r="F51" s="1"/>
  <c r="E49"/>
  <c r="E50" s="1"/>
  <c r="F52"/>
  <c r="F53" s="1"/>
  <c r="D47" s="1"/>
  <c r="E52"/>
  <c r="E53" s="1"/>
  <c r="E56" s="1"/>
  <c r="J45"/>
  <c r="J46" s="1"/>
  <c r="J47" s="1"/>
  <c r="I45"/>
  <c r="I46" s="1"/>
  <c r="I47" s="1"/>
  <c r="N45"/>
  <c r="G46"/>
  <c r="G47" s="1"/>
  <c r="O45"/>
  <c r="P45"/>
  <c r="N47" l="1"/>
  <c r="M45"/>
  <c r="Q45" s="1"/>
  <c r="R45" s="1"/>
  <c r="S45" s="1"/>
  <c r="T45" s="1"/>
  <c r="M47"/>
  <c r="P47"/>
  <c r="O47"/>
  <c r="E51"/>
  <c r="F54" s="1"/>
  <c r="D46"/>
  <c r="N46" s="1"/>
  <c r="M46"/>
  <c r="P46"/>
  <c r="E55" l="1"/>
  <c r="U45"/>
  <c r="Q47"/>
  <c r="E54"/>
  <c r="O46"/>
  <c r="Q46" s="1"/>
  <c r="R46" s="1"/>
  <c r="R47" l="1"/>
  <c r="S47" s="1"/>
  <c r="T47" s="1"/>
  <c r="S46"/>
  <c r="T46" s="1"/>
  <c r="O14"/>
  <c r="U47" l="1"/>
  <c r="W47" s="1"/>
  <c r="P20" s="1"/>
  <c r="V47"/>
  <c r="P18" s="1"/>
  <c r="O54"/>
  <c r="M25" s="1"/>
  <c r="U46"/>
  <c r="W46" s="1"/>
  <c r="V46"/>
  <c r="O18" s="1"/>
  <c r="O16"/>
  <c r="Q18" l="1"/>
  <c r="O20"/>
  <c r="E45" i="27"/>
  <c r="Q16" i="29"/>
  <c r="Q20"/>
  <c r="Q18"/>
  <c r="H56" i="34" l="1"/>
  <c r="G73" s="1"/>
  <c r="G74" s="1"/>
  <c r="P44"/>
  <c r="H73" s="1"/>
  <c r="F73"/>
  <c r="F74" s="1"/>
  <c r="E73"/>
  <c r="D73"/>
  <c r="D74" s="1"/>
  <c r="C73"/>
  <c r="C74" s="1"/>
  <c r="A73"/>
  <c r="R99"/>
  <c r="R98"/>
  <c r="C90"/>
  <c r="I73"/>
  <c r="I74" s="1"/>
  <c r="M64"/>
  <c r="Q55"/>
  <c r="O55"/>
  <c r="O53"/>
  <c r="M57" s="1"/>
  <c r="K73" l="1"/>
  <c r="J73"/>
  <c r="L73" s="1"/>
  <c r="M73" s="1"/>
  <c r="M53"/>
  <c r="Q53"/>
  <c r="E74"/>
  <c r="E79"/>
  <c r="E76"/>
  <c r="E77" s="1"/>
  <c r="E78" s="1"/>
  <c r="H74"/>
  <c r="Q20" i="33"/>
  <c r="Q18"/>
  <c r="Q16"/>
  <c r="G46"/>
  <c r="F46"/>
  <c r="E46"/>
  <c r="I45"/>
  <c r="I46" s="1"/>
  <c r="F45"/>
  <c r="E45"/>
  <c r="D45"/>
  <c r="C45"/>
  <c r="C46" s="1"/>
  <c r="A45"/>
  <c r="B46" s="1"/>
  <c r="H17"/>
  <c r="G45" s="1"/>
  <c r="P5"/>
  <c r="H45" s="1"/>
  <c r="H46" s="1"/>
  <c r="Q16" i="19"/>
  <c r="Q14"/>
  <c r="M14"/>
  <c r="M25" i="29"/>
  <c r="F40"/>
  <c r="E40"/>
  <c r="E43" s="1"/>
  <c r="D40"/>
  <c r="A40"/>
  <c r="J45" i="33" l="1"/>
  <c r="K45"/>
  <c r="J74" i="34"/>
  <c r="K74"/>
  <c r="K46" i="33"/>
  <c r="K40" i="29"/>
  <c r="E80" i="34"/>
  <c r="N73"/>
  <c r="O73" s="1"/>
  <c r="E81"/>
  <c r="D46" i="33"/>
  <c r="J46"/>
  <c r="R66" i="29"/>
  <c r="R65"/>
  <c r="C57"/>
  <c r="C41"/>
  <c r="I40"/>
  <c r="I41" s="1"/>
  <c r="F41"/>
  <c r="H17"/>
  <c r="P5"/>
  <c r="L45" i="33" l="1"/>
  <c r="M45" s="1"/>
  <c r="N45" s="1"/>
  <c r="O14" s="1"/>
  <c r="H40" i="29"/>
  <c r="H41" s="1"/>
  <c r="L46" i="33"/>
  <c r="M74" i="34"/>
  <c r="N74" s="1"/>
  <c r="P74" s="1"/>
  <c r="G40" i="29"/>
  <c r="E82" i="34"/>
  <c r="O59"/>
  <c r="Q59" s="1"/>
  <c r="L74"/>
  <c r="O57"/>
  <c r="Q57" s="1"/>
  <c r="E44" i="29"/>
  <c r="E45" s="1"/>
  <c r="D41"/>
  <c r="E41"/>
  <c r="K41" s="1"/>
  <c r="E46"/>
  <c r="R72" i="27"/>
  <c r="R71"/>
  <c r="C63"/>
  <c r="K45"/>
  <c r="K46" s="1"/>
  <c r="K47" s="1"/>
  <c r="H45"/>
  <c r="G45"/>
  <c r="C45"/>
  <c r="D45" s="1"/>
  <c r="A45"/>
  <c r="Q20"/>
  <c r="H17"/>
  <c r="Q16"/>
  <c r="Q14"/>
  <c r="P5"/>
  <c r="O45" i="33" l="1"/>
  <c r="T45"/>
  <c r="F49" i="27"/>
  <c r="F50" s="1"/>
  <c r="F51" s="1"/>
  <c r="E49"/>
  <c r="E50" s="1"/>
  <c r="H46"/>
  <c r="H47" s="1"/>
  <c r="E48" i="29"/>
  <c r="M46" i="33"/>
  <c r="T46" s="1"/>
  <c r="Q14"/>
  <c r="M18"/>
  <c r="J40" i="29"/>
  <c r="L40" s="1"/>
  <c r="G41"/>
  <c r="J41" s="1"/>
  <c r="E52" i="27"/>
  <c r="E53" s="1"/>
  <c r="F52"/>
  <c r="F53" s="1"/>
  <c r="J45"/>
  <c r="I45"/>
  <c r="I46" s="1"/>
  <c r="I47" s="1"/>
  <c r="P45"/>
  <c r="N45"/>
  <c r="O45"/>
  <c r="M80" i="34"/>
  <c r="O74"/>
  <c r="Q74" s="1"/>
  <c r="M14" i="33"/>
  <c r="O16"/>
  <c r="G46" i="27"/>
  <c r="E46"/>
  <c r="E47" s="1"/>
  <c r="C45" i="19"/>
  <c r="D45" s="1"/>
  <c r="J46" i="27" l="1"/>
  <c r="J47" s="1"/>
  <c r="N46" i="33"/>
  <c r="G47" i="27"/>
  <c r="P47" s="1"/>
  <c r="M45"/>
  <c r="Q45" s="1"/>
  <c r="R45" s="1"/>
  <c r="S45" s="1"/>
  <c r="M40" i="29"/>
  <c r="N40" s="1"/>
  <c r="E47"/>
  <c r="M41" s="1"/>
  <c r="M47" i="27"/>
  <c r="E51"/>
  <c r="F54" s="1"/>
  <c r="E56"/>
  <c r="D47"/>
  <c r="M46"/>
  <c r="P46"/>
  <c r="L41" i="29"/>
  <c r="D46" i="27"/>
  <c r="N46" s="1"/>
  <c r="E55" l="1"/>
  <c r="N47"/>
  <c r="T45"/>
  <c r="O46" i="33"/>
  <c r="Q48" s="1"/>
  <c r="P48"/>
  <c r="O18" s="1"/>
  <c r="N41" i="29"/>
  <c r="E49"/>
  <c r="O47" i="27"/>
  <c r="E54"/>
  <c r="O14" i="29"/>
  <c r="O46" i="27"/>
  <c r="O40" i="29"/>
  <c r="C45" i="10"/>
  <c r="D45" s="1"/>
  <c r="Q47" i="27" l="1"/>
  <c r="R47" s="1"/>
  <c r="S47" s="1"/>
  <c r="T47" s="1"/>
  <c r="U47" s="1"/>
  <c r="O20" i="33"/>
  <c r="M25"/>
  <c r="M18" i="29"/>
  <c r="O41"/>
  <c r="Q41" s="1"/>
  <c r="O20" s="1"/>
  <c r="P41"/>
  <c r="O18" s="1"/>
  <c r="U45" i="27"/>
  <c r="Q14" i="29"/>
  <c r="O14" i="27"/>
  <c r="O16" i="29"/>
  <c r="M14"/>
  <c r="Q46" i="27"/>
  <c r="R46" s="1"/>
  <c r="S46" s="1"/>
  <c r="T46" s="1"/>
  <c r="V47" l="1"/>
  <c r="P18" s="1"/>
  <c r="O54"/>
  <c r="M25" s="1"/>
  <c r="O16"/>
  <c r="W47"/>
  <c r="P20" s="1"/>
  <c r="U46"/>
  <c r="W46" s="1"/>
  <c r="Q20" i="10"/>
  <c r="Q16"/>
  <c r="Q14"/>
  <c r="A45"/>
  <c r="O20" i="27" l="1"/>
  <c r="V46"/>
  <c r="O18" s="1"/>
  <c r="Q18" l="1"/>
  <c r="X52" i="19"/>
  <c r="H46"/>
  <c r="G46"/>
  <c r="K45"/>
  <c r="K46" s="1"/>
  <c r="H45"/>
  <c r="G45"/>
  <c r="F45"/>
  <c r="F46" s="1"/>
  <c r="F47" s="1"/>
  <c r="E45"/>
  <c r="E46" s="1"/>
  <c r="E47" s="1"/>
  <c r="D46"/>
  <c r="D47" s="1"/>
  <c r="A45"/>
  <c r="H17"/>
  <c r="P5"/>
  <c r="F46" i="17"/>
  <c r="R72" i="10"/>
  <c r="R71"/>
  <c r="R72" i="5"/>
  <c r="R71"/>
  <c r="O46" i="19" l="1"/>
  <c r="I45"/>
  <c r="L45" s="1"/>
  <c r="J45"/>
  <c r="J46" s="1"/>
  <c r="O45"/>
  <c r="M45"/>
  <c r="N45"/>
  <c r="M46"/>
  <c r="N46"/>
  <c r="N48"/>
  <c r="L46"/>
  <c r="O48"/>
  <c r="W57"/>
  <c r="X57" s="1"/>
  <c r="Y57" l="1"/>
  <c r="Y58" s="1"/>
  <c r="P48"/>
  <c r="P46"/>
  <c r="P45"/>
  <c r="Q46" l="1"/>
  <c r="R46" s="1"/>
  <c r="R47" s="1"/>
  <c r="Q48"/>
  <c r="R48" s="1"/>
  <c r="Q45"/>
  <c r="R45" s="1"/>
  <c r="W45" s="1"/>
  <c r="Y45" s="1"/>
  <c r="S46" l="1"/>
  <c r="T46" s="1"/>
  <c r="S45"/>
  <c r="X45"/>
  <c r="W46"/>
  <c r="X46" s="1"/>
  <c r="E46" i="17"/>
  <c r="K46" l="1"/>
  <c r="J46"/>
  <c r="L46" s="1"/>
  <c r="S47" i="19"/>
  <c r="T47" s="1"/>
  <c r="W47"/>
  <c r="X47" s="1"/>
  <c r="T45"/>
  <c r="O14"/>
  <c r="U48"/>
  <c r="O18" s="1"/>
  <c r="C63" i="10"/>
  <c r="U49" i="19" l="1"/>
  <c r="P18" s="1"/>
  <c r="O16"/>
  <c r="V49"/>
  <c r="Q20"/>
  <c r="M18"/>
  <c r="Q18"/>
  <c r="V48"/>
  <c r="G45" i="10"/>
  <c r="K45"/>
  <c r="K46" s="1"/>
  <c r="K47" s="1"/>
  <c r="H45"/>
  <c r="E45"/>
  <c r="H46" l="1"/>
  <c r="H47" s="1"/>
  <c r="F49"/>
  <c r="F50" s="1"/>
  <c r="F51" s="1"/>
  <c r="E49"/>
  <c r="F52"/>
  <c r="F53" s="1"/>
  <c r="E52"/>
  <c r="E53" s="1"/>
  <c r="E56" s="1"/>
  <c r="P20" i="19"/>
  <c r="O20"/>
  <c r="M25"/>
  <c r="N45" i="10"/>
  <c r="O45"/>
  <c r="M45"/>
  <c r="G46"/>
  <c r="E46"/>
  <c r="E47" s="1"/>
  <c r="D45" i="17"/>
  <c r="F45"/>
  <c r="E45"/>
  <c r="C45"/>
  <c r="C46" s="1"/>
  <c r="C47" s="1"/>
  <c r="A45"/>
  <c r="I45"/>
  <c r="H17"/>
  <c r="P5"/>
  <c r="E50" i="10" l="1"/>
  <c r="G47"/>
  <c r="D47"/>
  <c r="D46"/>
  <c r="M46" s="1"/>
  <c r="O46"/>
  <c r="G45" i="17"/>
  <c r="J45" s="1"/>
  <c r="H45"/>
  <c r="H46" s="1"/>
  <c r="H47" s="1"/>
  <c r="N47" s="1"/>
  <c r="K45"/>
  <c r="I46"/>
  <c r="I47" s="1"/>
  <c r="D46"/>
  <c r="F54" i="10" l="1"/>
  <c r="E51"/>
  <c r="E54" s="1"/>
  <c r="D47" i="17"/>
  <c r="T47" s="1"/>
  <c r="O47"/>
  <c r="M47" i="10"/>
  <c r="O47"/>
  <c r="N47"/>
  <c r="N46"/>
  <c r="L45" i="17"/>
  <c r="M45" s="1"/>
  <c r="M46" l="1"/>
  <c r="T46" s="1"/>
  <c r="T45"/>
  <c r="N46" l="1"/>
  <c r="O46" s="1"/>
  <c r="N45"/>
  <c r="P49" l="1"/>
  <c r="P18" s="1"/>
  <c r="P48"/>
  <c r="O18" s="1"/>
  <c r="O14"/>
  <c r="O45"/>
  <c r="H17" i="5"/>
  <c r="G45" s="1"/>
  <c r="K45" s="1"/>
  <c r="I45"/>
  <c r="I46" s="1"/>
  <c r="I47" s="1"/>
  <c r="Q48" i="17" l="1"/>
  <c r="O20" s="1"/>
  <c r="Q49"/>
  <c r="P20" s="1"/>
  <c r="M18"/>
  <c r="Q18"/>
  <c r="M14"/>
  <c r="Q14"/>
  <c r="O16"/>
  <c r="Q20" l="1"/>
  <c r="M25"/>
  <c r="Q16"/>
  <c r="H17" i="10" l="1"/>
  <c r="P5"/>
  <c r="J45" s="1"/>
  <c r="J46" s="1"/>
  <c r="J47" s="1"/>
  <c r="I45" l="1"/>
  <c r="L45" s="1"/>
  <c r="E46" i="5" l="1"/>
  <c r="F46"/>
  <c r="F47" s="1"/>
  <c r="P45" i="10"/>
  <c r="Q45" s="1"/>
  <c r="R45" s="1"/>
  <c r="I46"/>
  <c r="G46" i="5"/>
  <c r="G47" s="1"/>
  <c r="K46" l="1"/>
  <c r="S45" i="10"/>
  <c r="T48" s="1"/>
  <c r="E55"/>
  <c r="L46" i="5"/>
  <c r="E47"/>
  <c r="K47" s="1"/>
  <c r="I47" i="10"/>
  <c r="L47" s="1"/>
  <c r="P47" s="1"/>
  <c r="Q47" s="1"/>
  <c r="R47" s="1"/>
  <c r="L46"/>
  <c r="P46" s="1"/>
  <c r="Q46" s="1"/>
  <c r="R46" s="1"/>
  <c r="H46" i="5"/>
  <c r="H47" s="1"/>
  <c r="M45"/>
  <c r="N45" s="1"/>
  <c r="M46" l="1"/>
  <c r="E53" s="1"/>
  <c r="N46" s="1"/>
  <c r="E55"/>
  <c r="O45"/>
  <c r="O49" s="1"/>
  <c r="P49" s="1"/>
  <c r="S46" i="10"/>
  <c r="L47" i="5"/>
  <c r="M47" s="1"/>
  <c r="F53" s="1"/>
  <c r="F54"/>
  <c r="S47" i="10"/>
  <c r="C46" i="5"/>
  <c r="T47" i="10" l="1"/>
  <c r="T50"/>
  <c r="T46"/>
  <c r="T49"/>
  <c r="Q45" i="5"/>
  <c r="O54" i="10"/>
  <c r="M25" s="1"/>
  <c r="M53" i="5"/>
  <c r="O46"/>
  <c r="O50" s="1"/>
  <c r="C47"/>
  <c r="N47"/>
  <c r="U46" i="10"/>
  <c r="O18" s="1"/>
  <c r="U47"/>
  <c r="P18" s="1"/>
  <c r="O14"/>
  <c r="T45"/>
  <c r="R50" i="5" l="1"/>
  <c r="Q49"/>
  <c r="R46"/>
  <c r="Q46"/>
  <c r="O47"/>
  <c r="O51" s="1"/>
  <c r="R51" s="1"/>
  <c r="Q18" i="10"/>
  <c r="O14" i="5"/>
  <c r="M25"/>
  <c r="O16" i="10"/>
  <c r="V47"/>
  <c r="P20" s="1"/>
  <c r="P46" i="5"/>
  <c r="P50" s="1"/>
  <c r="V46" i="10"/>
  <c r="O20" s="1"/>
  <c r="P45" i="5"/>
  <c r="S50" l="1"/>
  <c r="T46"/>
  <c r="Q50"/>
  <c r="T50" s="1"/>
  <c r="P47"/>
  <c r="P51" s="1"/>
  <c r="S51" s="1"/>
  <c r="Q47"/>
  <c r="M14"/>
  <c r="R47"/>
  <c r="P18" s="1"/>
  <c r="O16"/>
  <c r="S46"/>
  <c r="M18"/>
  <c r="Q14"/>
  <c r="S47" l="1"/>
  <c r="P20" s="1"/>
  <c r="T47"/>
  <c r="Q51"/>
  <c r="T51" s="1"/>
  <c r="O18"/>
  <c r="O20"/>
  <c r="Q16"/>
  <c r="Q20" l="1"/>
  <c r="Q18"/>
</calcChain>
</file>

<file path=xl/sharedStrings.xml><?xml version="1.0" encoding="utf-8"?>
<sst xmlns="http://schemas.openxmlformats.org/spreadsheetml/2006/main" count="1871" uniqueCount="535">
  <si>
    <t xml:space="preserve">DATE  </t>
  </si>
  <si>
    <t>ENERGY PRICE</t>
  </si>
  <si>
    <t>SURFACES</t>
  </si>
  <si>
    <t>FLANGES</t>
  </si>
  <si>
    <t>VALVES</t>
  </si>
  <si>
    <t xml:space="preserve">Component </t>
  </si>
  <si>
    <t>Up to ten pictures</t>
  </si>
  <si>
    <t xml:space="preserve">Surface </t>
  </si>
  <si>
    <r>
      <t>m</t>
    </r>
    <r>
      <rPr>
        <b/>
        <vertAlign val="superscript"/>
        <sz val="16"/>
        <color theme="0"/>
        <rFont val="Calibri"/>
        <family val="2"/>
        <scheme val="minor"/>
      </rPr>
      <t>2</t>
    </r>
  </si>
  <si>
    <t>Metallic  ε=0,6</t>
  </si>
  <si>
    <t>Corroded ε=0,8</t>
  </si>
  <si>
    <t>Free input</t>
  </si>
  <si>
    <t>Metallic bright  ε=0,3</t>
  </si>
  <si>
    <t>hr</t>
  </si>
  <si>
    <t xml:space="preserve">Operational time </t>
  </si>
  <si>
    <t xml:space="preserve">Component / Location </t>
  </si>
  <si>
    <t>emissivity</t>
  </si>
  <si>
    <t xml:space="preserve">operation hours </t>
  </si>
  <si>
    <t>2000 hours</t>
  </si>
  <si>
    <t>7000 hours</t>
  </si>
  <si>
    <t>5000 hours</t>
  </si>
  <si>
    <t>6000 hours</t>
  </si>
  <si>
    <t>°C</t>
  </si>
  <si>
    <t>€</t>
  </si>
  <si>
    <t>Non metallic ε=0,9</t>
  </si>
  <si>
    <t>Window help to calculate surfaces</t>
  </si>
  <si>
    <t>hse</t>
  </si>
  <si>
    <t>q3
W/m2</t>
  </si>
  <si>
    <t>hcv turbulent</t>
  </si>
  <si>
    <t>θse
Surface temp</t>
  </si>
  <si>
    <t xml:space="preserve">θa
Amb temp </t>
  </si>
  <si>
    <t>q3*op_time*surface</t>
  </si>
  <si>
    <t>4380 hours (1/2 year)</t>
  </si>
  <si>
    <t>8760 hours (full year)</t>
  </si>
  <si>
    <t>Luis Lopez Brunner</t>
  </si>
  <si>
    <t>Surface in m²</t>
  </si>
  <si>
    <t>Ambient Temp.</t>
  </si>
  <si>
    <t>Burner /L6</t>
  </si>
  <si>
    <t>Surface Temp.</t>
  </si>
  <si>
    <t>Medium Temp.</t>
  </si>
  <si>
    <t>θi
Medium temp</t>
  </si>
  <si>
    <t>Valve 20456</t>
  </si>
  <si>
    <t xml:space="preserve">Assumptions </t>
  </si>
  <si>
    <t xml:space="preserve">PIPES </t>
  </si>
  <si>
    <t>mm</t>
  </si>
  <si>
    <t xml:space="preserve">Length </t>
  </si>
  <si>
    <t>m</t>
  </si>
  <si>
    <t>a</t>
  </si>
  <si>
    <t>b</t>
  </si>
  <si>
    <t>c</t>
  </si>
  <si>
    <t>d</t>
  </si>
  <si>
    <t>θm</t>
  </si>
  <si>
    <r>
      <rPr>
        <sz val="11"/>
        <color theme="1"/>
        <rFont val="Times New Roman"/>
        <family val="1"/>
      </rPr>
      <t>λ</t>
    </r>
    <r>
      <rPr>
        <vertAlign val="subscript"/>
        <sz val="11"/>
        <color theme="1"/>
        <rFont val="Times New Roman"/>
        <family val="1"/>
      </rPr>
      <t>m</t>
    </r>
  </si>
  <si>
    <t>Ft</t>
  </si>
  <si>
    <t xml:space="preserve">Insulation thickness </t>
  </si>
  <si>
    <t>W/mK</t>
  </si>
  <si>
    <r>
      <t>λ</t>
    </r>
    <r>
      <rPr>
        <b/>
        <vertAlign val="subscript"/>
        <sz val="11"/>
        <color theme="1"/>
        <rFont val="Times New Roman"/>
        <family val="1"/>
      </rPr>
      <t>des</t>
    </r>
  </si>
  <si>
    <t xml:space="preserve">value at higher temperature, conservative calculation </t>
  </si>
  <si>
    <t>Energy price €/kWh</t>
  </si>
  <si>
    <t>Op Time in hr</t>
  </si>
  <si>
    <t>Savings</t>
  </si>
  <si>
    <t>kWh</t>
  </si>
  <si>
    <t>€/m2</t>
  </si>
  <si>
    <t>years</t>
  </si>
  <si>
    <t xml:space="preserve">Ref Payback time </t>
  </si>
  <si>
    <t>C</t>
  </si>
  <si>
    <r>
      <t>•</t>
    </r>
    <r>
      <rPr>
        <sz val="18"/>
        <color rgb="FF000000"/>
        <rFont val="Calibri"/>
        <family val="2"/>
        <scheme val="minor"/>
      </rPr>
      <t xml:space="preserve">Measured temperature is always lower than medium temperature – conservative </t>
    </r>
  </si>
  <si>
    <r>
      <t>•</t>
    </r>
    <r>
      <rPr>
        <sz val="18"/>
        <color rgb="FF000000"/>
        <rFont val="Calibri"/>
        <family val="2"/>
        <scheme val="minor"/>
      </rPr>
      <t>Wind speed = 0 m/s – conservative</t>
    </r>
  </si>
  <si>
    <r>
      <t>•</t>
    </r>
    <r>
      <rPr>
        <sz val="18"/>
        <color rgb="FF000000"/>
        <rFont val="Calibri"/>
        <family val="2"/>
        <scheme val="minor"/>
      </rPr>
      <t>Always turbulent - H^3Δθ&gt;10</t>
    </r>
  </si>
  <si>
    <r>
      <t>•</t>
    </r>
    <r>
      <rPr>
        <sz val="18"/>
        <color rgb="FF000000"/>
        <rFont val="Calibri"/>
        <family val="2"/>
        <scheme val="minor"/>
      </rPr>
      <t>Energy saving calculations based on only 20 mm or 50 mm insulation depending on Δθ, (internal number not known by the user). Two options:</t>
    </r>
  </si>
  <si>
    <t xml:space="preserve">(hse = un-ins hse - conservative), </t>
  </si>
  <si>
    <r>
      <t>§</t>
    </r>
    <r>
      <rPr>
        <sz val="18"/>
        <color rgb="FF000000"/>
        <rFont val="Calibri"/>
        <family val="2"/>
        <scheme val="minor"/>
      </rPr>
      <t>Fixed values based on calculations (surfaces emissivity 0,5)</t>
    </r>
  </si>
  <si>
    <r>
      <t>•</t>
    </r>
    <r>
      <rPr>
        <sz val="18"/>
        <color rgb="FF000000"/>
        <rFont val="Calibri"/>
        <family val="2"/>
        <scheme val="minor"/>
      </rPr>
      <t xml:space="preserve"> Δθ &lt; 25°C (20mm)                -  75 % HL saving</t>
    </r>
  </si>
  <si>
    <r>
      <t>•</t>
    </r>
    <r>
      <rPr>
        <sz val="18"/>
        <color rgb="FF000000"/>
        <rFont val="Calibri"/>
        <family val="2"/>
        <scheme val="minor"/>
      </rPr>
      <t>25°C &lt; Δθ &lt; 100°C  (20mm)-   80 % HL saving</t>
    </r>
  </si>
  <si>
    <r>
      <t>•</t>
    </r>
    <r>
      <rPr>
        <sz val="18"/>
        <color rgb="FF000000"/>
        <rFont val="Calibri"/>
        <family val="2"/>
        <scheme val="minor"/>
      </rPr>
      <t xml:space="preserve">100°C &lt; Δθ   (50mm)            -  90 % HL saving </t>
    </r>
  </si>
  <si>
    <r>
      <t>•</t>
    </r>
    <r>
      <rPr>
        <sz val="18"/>
        <color rgb="FF000000"/>
        <rFont val="Calibri"/>
        <family val="2"/>
        <scheme val="minor"/>
      </rPr>
      <t>Recommendation – safety first , two options</t>
    </r>
  </si>
  <si>
    <r>
      <t>•</t>
    </r>
    <r>
      <rPr>
        <sz val="18"/>
        <color rgb="FF000000"/>
        <rFont val="Calibri"/>
        <family val="2"/>
        <scheme val="minor"/>
      </rPr>
      <t xml:space="preserve"> based on payback calculation 5years and 80 €/m2 (internal number not known by the user)</t>
    </r>
  </si>
  <si>
    <r>
      <t>•</t>
    </r>
    <r>
      <rPr>
        <sz val="18"/>
        <color rgb="FF000000"/>
        <rFont val="Calibri"/>
        <family val="2"/>
        <scheme val="minor"/>
      </rPr>
      <t>Fixed values depending on Δθ</t>
    </r>
  </si>
  <si>
    <t>ε</t>
  </si>
  <si>
    <r>
      <t xml:space="preserve">Default value for </t>
    </r>
    <r>
      <rPr>
        <sz val="10"/>
        <color theme="1"/>
        <rFont val="Times New Roman"/>
        <family val="1"/>
      </rPr>
      <t>ε =</t>
    </r>
  </si>
  <si>
    <t xml:space="preserve"> Boltzmann cte σ=</t>
  </si>
  <si>
    <r>
      <t>Δ</t>
    </r>
    <r>
      <rPr>
        <sz val="10"/>
        <color theme="1"/>
        <rFont val="Times New Roman"/>
        <family val="1"/>
      </rPr>
      <t xml:space="preserve">θ &lt; </t>
    </r>
  </si>
  <si>
    <t>Eiif default values - only access for Eiif , updated with new versions</t>
  </si>
  <si>
    <t>q3*op_time*surf*€</t>
  </si>
  <si>
    <t>Q   
kWh</t>
  </si>
  <si>
    <t>Q 
 €</t>
  </si>
  <si>
    <r>
      <t xml:space="preserve">Safety warning for </t>
    </r>
    <r>
      <rPr>
        <sz val="11"/>
        <color theme="1"/>
        <rFont val="Times New Roman"/>
        <family val="1"/>
      </rPr>
      <t>θ</t>
    </r>
    <r>
      <rPr>
        <sz val="11"/>
        <color theme="1"/>
        <rFont val="Calibri"/>
        <family val="2"/>
      </rPr>
      <t>se&gt;</t>
    </r>
  </si>
  <si>
    <t>•Up to 300 °C</t>
  </si>
  <si>
    <t>ENERGY</t>
  </si>
  <si>
    <t>PROJECT</t>
  </si>
  <si>
    <t>h</t>
  </si>
  <si>
    <t xml:space="preserve">Making points &amp; temperatures </t>
  </si>
  <si>
    <t xml:space="preserve">             See the different making point temperatures, or introduce themif there is no picture. Calcualte the average for calculations. Free input if there is no info </t>
  </si>
  <si>
    <t>p1</t>
  </si>
  <si>
    <t>p2</t>
  </si>
  <si>
    <t>p3</t>
  </si>
  <si>
    <t>P4</t>
  </si>
  <si>
    <t>up to 10</t>
  </si>
  <si>
    <t>N90323</t>
  </si>
  <si>
    <t>Surface Material</t>
  </si>
  <si>
    <t>ref</t>
  </si>
  <si>
    <t xml:space="preserve">saving </t>
  </si>
  <si>
    <t>De (m)</t>
  </si>
  <si>
    <t>Length (m)</t>
  </si>
  <si>
    <t>hcv H laminar turbulent</t>
  </si>
  <si>
    <t>hcv H turbulent</t>
  </si>
  <si>
    <t xml:space="preserve">Laminar /turbulent 
Laminar free cv De^3Δθ&lt;10
</t>
  </si>
  <si>
    <t>Rle</t>
  </si>
  <si>
    <t xml:space="preserve">max heat loss for a payback of predifined Cpb </t>
  </si>
  <si>
    <t>Default values for calcualtions</t>
  </si>
  <si>
    <t xml:space="preserve">Conductivity </t>
  </si>
  <si>
    <t>If there is no info about medium, take surface by default</t>
  </si>
  <si>
    <t>thickness selection</t>
  </si>
  <si>
    <t xml:space="preserve">q ref-pb </t>
  </si>
  <si>
    <t xml:space="preserve">Cpb=investment/payback </t>
  </si>
  <si>
    <t xml:space="preserve">Criteria </t>
  </si>
  <si>
    <t>Surface</t>
  </si>
  <si>
    <t>Pipe</t>
  </si>
  <si>
    <t>Flange</t>
  </si>
  <si>
    <t>Valve</t>
  </si>
  <si>
    <t xml:space="preserve">Work flow </t>
  </si>
  <si>
    <t xml:space="preserve">Action </t>
  </si>
  <si>
    <t xml:space="preserve">no calculation </t>
  </si>
  <si>
    <t>x</t>
  </si>
  <si>
    <t xml:space="preserve">I Surface </t>
  </si>
  <si>
    <t xml:space="preserve">I Pipe </t>
  </si>
  <si>
    <t xml:space="preserve">If operational time is empty </t>
  </si>
  <si>
    <t xml:space="preserve">If surface is empty </t>
  </si>
  <si>
    <t>If ambient temperature is empty</t>
  </si>
  <si>
    <t xml:space="preserve">If surface temperature is empty </t>
  </si>
  <si>
    <t xml:space="preserve">Cpb surface </t>
  </si>
  <si>
    <t>m2/m</t>
  </si>
  <si>
    <t>same default values as surface</t>
  </si>
  <si>
    <t>3000 hours</t>
  </si>
  <si>
    <t xml:space="preserve">1000 hours </t>
  </si>
  <si>
    <t xml:space="preserve">free input </t>
  </si>
  <si>
    <t>Cpb surface/pipe</t>
  </si>
  <si>
    <t xml:space="preserve">Cpb valve and flanges </t>
  </si>
  <si>
    <t xml:space="preserve">ql ref-pb </t>
  </si>
  <si>
    <t>ql3
W/l</t>
  </si>
  <si>
    <t>Criteria for Insulated, θse ref</t>
  </si>
  <si>
    <t>θa ref</t>
  </si>
  <si>
    <t>It is not part of Tbi tool. It is an external eiif table</t>
  </si>
  <si>
    <t>Insulation cost surface /pipe</t>
  </si>
  <si>
    <t xml:space="preserve">Insualtion cost matresses </t>
  </si>
  <si>
    <t xml:space="preserve">€/unit </t>
  </si>
  <si>
    <t>Corf payback cal surface/pipe  - Cpb</t>
  </si>
  <si>
    <t>Coef for payback fitting - Cpbf</t>
  </si>
  <si>
    <t xml:space="preserve">Cpbf fitting </t>
  </si>
  <si>
    <t>NOT Tbi. Eiif table</t>
  </si>
  <si>
    <t>Insulation need in m</t>
  </si>
  <si>
    <r>
      <t xml:space="preserve"> </t>
    </r>
    <r>
      <rPr>
        <sz val="10"/>
        <color theme="1"/>
        <rFont val="Times New Roman"/>
        <family val="1"/>
      </rPr>
      <t>ε ref =</t>
    </r>
  </si>
  <si>
    <t xml:space="preserve">hcv H laminar </t>
  </si>
  <si>
    <r>
      <t>Increase thickness for Rls ref</t>
    </r>
    <r>
      <rPr>
        <sz val="10"/>
        <color theme="1"/>
        <rFont val="Times New Roman"/>
        <family val="1"/>
      </rPr>
      <t xml:space="preserve"> =</t>
    </r>
  </si>
  <si>
    <t>Rl</t>
  </si>
  <si>
    <t>Di</t>
  </si>
  <si>
    <t xml:space="preserve">For Rle ref , same De as component. If increaase insulation thickness , Rle will be lower and have more losses  </t>
  </si>
  <si>
    <t>For pipes system we calculate increasing performance of the insualtion system.</t>
  </si>
  <si>
    <t>DN</t>
  </si>
  <si>
    <t>Rse</t>
  </si>
  <si>
    <t>Dins</t>
  </si>
  <si>
    <t>Rins</t>
  </si>
  <si>
    <t>π</t>
  </si>
  <si>
    <t>Heat loss</t>
  </si>
  <si>
    <t>Saving potential</t>
  </si>
  <si>
    <t xml:space="preserve">Rins </t>
  </si>
  <si>
    <t>q
W/m2</t>
  </si>
  <si>
    <t>D ins</t>
  </si>
  <si>
    <t>hse calculated with uninsulated temperature, higher temperature -&gt; higher hse -&gt; higher losses</t>
  </si>
  <si>
    <t xml:space="preserve">hse calculated with uninsulated temperature, higher temperature -&gt; higher hse -&gt; higher losses . Incresed of thiskness is integrated for Rsle but not for hse (small impact). Always conservative </t>
  </si>
  <si>
    <t>thers is an internal factor of 0,1 to communicate less</t>
  </si>
  <si>
    <t>max heat loss for a payback of predifined Cpb, multiply for 10000 to pass to W and internal factor of 0,1</t>
  </si>
  <si>
    <t>ql3
W/m</t>
  </si>
  <si>
    <t>recommendation  θse-θa</t>
  </si>
  <si>
    <t xml:space="preserve">θse-θa for insulation recommendation </t>
  </si>
  <si>
    <r>
      <t>q=(</t>
    </r>
    <r>
      <rPr>
        <sz val="11"/>
        <color theme="1"/>
        <rFont val="Times New Roman"/>
        <family val="1"/>
      </rPr>
      <t>θse-θa)</t>
    </r>
    <r>
      <rPr>
        <sz val="11"/>
        <color theme="1"/>
        <rFont val="Calibri"/>
        <family val="2"/>
      </rPr>
      <t>/Rle</t>
    </r>
  </si>
  <si>
    <t>€/kWh</t>
  </si>
  <si>
    <t>PIPES</t>
  </si>
  <si>
    <t xml:space="preserve">Same formulas than surface but with 1m2 by default </t>
  </si>
  <si>
    <t xml:space="preserve">Insualtion will reduce the energy comsuption. A further analysis is needed to determine the total potential </t>
  </si>
  <si>
    <t>or</t>
  </si>
  <si>
    <t>Ø</t>
  </si>
  <si>
    <t xml:space="preserve">or </t>
  </si>
  <si>
    <t>*</t>
  </si>
  <si>
    <t>*only wall</t>
  </si>
  <si>
    <t xml:space="preserve">Lack of cladding </t>
  </si>
  <si>
    <t>Highly corroded</t>
  </si>
  <si>
    <t xml:space="preserve">Others </t>
  </si>
  <si>
    <t xml:space="preserve">General Stament </t>
  </si>
  <si>
    <t xml:space="preserve">Foot trafic </t>
  </si>
  <si>
    <t>Highy corroded</t>
  </si>
  <si>
    <t xml:space="preserve"> --&gt; The insulation is not protected anymore, water or other agent could get in </t>
  </si>
  <si>
    <t xml:space="preserve"> --&gt; There is a reduction of the insulation thickness, higher energy conmsuption. The system is not watertight anhmore</t>
  </si>
  <si>
    <t xml:space="preserve"> --&gt; Probably, there is a leak above in the system. Jacketing as a protecting layer gets weaker.</t>
  </si>
  <si>
    <t xml:space="preserve">Wet insulation </t>
  </si>
  <si>
    <t>https://insulation.org/io/articles/maintain-insulation-jacketing-to-ensure-mechanical-insulation-performance/</t>
  </si>
  <si>
    <t>Lack of insulation</t>
  </si>
  <si>
    <t>Wet insulation</t>
  </si>
  <si>
    <t>Old insulation</t>
  </si>
  <si>
    <t xml:space="preserve"> --&gt; Any damage in the insulant leads to reduce its thermal performance and to increase the energy consumption </t>
  </si>
  <si>
    <t xml:space="preserve"> --&gt; A lack of insulation in a system means an easy way out/in for the heat increasing the energy consumption </t>
  </si>
  <si>
    <t xml:space="preserve"> --&gt; Heat cycles and external condition changes affect the estructure of the insulant reducing its performance  </t>
  </si>
  <si>
    <t xml:space="preserve"> --&gt; Moisture inside the insulation structure can reduce the thermal performance up to 50% and increase the risk of CUI</t>
  </si>
  <si>
    <t>Install insulation on surfaces at "medium temperature" °C leads to important energy savings</t>
  </si>
  <si>
    <t>reference increasing thickness</t>
  </si>
  <si>
    <t>Foot traffic/Dent</t>
  </si>
  <si>
    <t>q
W/m</t>
  </si>
  <si>
    <t>hikhjkl</t>
  </si>
  <si>
    <t>1.Heat gain instead of Heat loss</t>
  </si>
  <si>
    <t>USER</t>
  </si>
  <si>
    <t>IPCOM</t>
  </si>
  <si>
    <t xml:space="preserve">Insulated </t>
  </si>
  <si>
    <t>TBi</t>
  </si>
  <si>
    <t>Pipe preheater-burner</t>
  </si>
  <si>
    <t>Connexion tank21</t>
  </si>
  <si>
    <t xml:space="preserve">Damaged </t>
  </si>
  <si>
    <t>Leakage -urgent to fix</t>
  </si>
  <si>
    <t>tank roof 21</t>
  </si>
  <si>
    <t>Potential savings per m² if insulated. Total surface must be defined</t>
  </si>
  <si>
    <t>insert some general documentation, dimension tables, flanges, etc…</t>
  </si>
  <si>
    <t>Upload documents plotplan, PFS, control room, tech specsetc…</t>
  </si>
  <si>
    <t>If medium temp - surface temp &lt; 15 °C (absolute value)</t>
  </si>
  <si>
    <t>average of all the points recorded or open cell to write any value</t>
  </si>
  <si>
    <t>report (record ) and move to selection</t>
  </si>
  <si>
    <t>0,5 is the deafault value</t>
  </si>
  <si>
    <t xml:space="preserve">It opens a window where Equivalent length can be modify </t>
  </si>
  <si>
    <t>Equivlent length decription:
Default value for flanges 0,5 m
Free input - xxxxx m</t>
  </si>
  <si>
    <t>DN or diameter</t>
  </si>
  <si>
    <t xml:space="preserve">uninsulated others - only info per m2, no recommendation just conditional </t>
  </si>
  <si>
    <t>Jacketing or cladding?</t>
  </si>
  <si>
    <t>CO2 emission reduction?</t>
  </si>
  <si>
    <t xml:space="preserve">Cold workflow </t>
  </si>
  <si>
    <t>Limitation in temperatures, like up to 300 °C</t>
  </si>
  <si>
    <t>Calculate or TIPCHECK?</t>
  </si>
  <si>
    <t xml:space="preserve">inforamtion at the selection </t>
  </si>
  <si>
    <t xml:space="preserve">hse calculated with uninsulated temperature, higher temperature -&gt; higher hse -&gt; higher losses . Incresed of thickness is integrated for Rsle but not for hse (small impact). Always conservative </t>
  </si>
  <si>
    <t>thers is an internal factor of 0,1 to hide price calcualtion backwards</t>
  </si>
  <si>
    <t>1 is the deafault value</t>
  </si>
  <si>
    <t>Equivlent length decription:
Default value for valves 1 m
Free input - xxxxx m</t>
  </si>
  <si>
    <t xml:space="preserve">information by selection </t>
  </si>
  <si>
    <t xml:space="preserve">equivalent length </t>
  </si>
  <si>
    <t>Bottom</t>
  </si>
  <si>
    <t>disclaimer about wind speed and sun radiation factor</t>
  </si>
  <si>
    <t>If savings &lt; 0</t>
  </si>
  <si>
    <t>2 Add risk of condensation on the surface (maintenance report)</t>
  </si>
  <si>
    <t xml:space="preserve"> For insulated systems, general statement: any failure in the insulated system can lead to condensations and increase of energy consumption </t>
  </si>
  <si>
    <t>Insulation 
report</t>
  </si>
  <si>
    <t>Safety 
report</t>
  </si>
  <si>
    <t>Maintenance 
report</t>
  </si>
  <si>
    <t>Custom
report</t>
  </si>
  <si>
    <t xml:space="preserve">Fire protection </t>
  </si>
  <si>
    <t>Traffic</t>
  </si>
  <si>
    <t xml:space="preserve">any other safety issue </t>
  </si>
  <si>
    <t>Hot surface</t>
  </si>
  <si>
    <t>Leakage</t>
  </si>
  <si>
    <t>hvuyfutcubjbouihoubnonojb</t>
  </si>
  <si>
    <t xml:space="preserve">Medium </t>
  </si>
  <si>
    <t xml:space="preserve"> Mechanical 
equipement</t>
  </si>
  <si>
    <t>Electrical 
equipement</t>
  </si>
  <si>
    <t>Ice blocks &amp; wet surfaces</t>
  </si>
  <si>
    <t xml:space="preserve">remove medium temp </t>
  </si>
  <si>
    <t>add medium or surface temp</t>
  </si>
  <si>
    <t>Flanges</t>
  </si>
  <si>
    <t xml:space="preserve">Cold </t>
  </si>
  <si>
    <t>Energy</t>
  </si>
  <si>
    <t>Fire Protect.</t>
  </si>
  <si>
    <t xml:space="preserve">Mechanical </t>
  </si>
  <si>
    <t xml:space="preserve">Electrical </t>
  </si>
  <si>
    <t xml:space="preserve">Insulation </t>
  </si>
  <si>
    <t>Safety</t>
  </si>
  <si>
    <t xml:space="preserve">Maintenance </t>
  </si>
  <si>
    <t>Insulated Pipe</t>
  </si>
  <si>
    <t>Custom report</t>
  </si>
  <si>
    <t>Report Safety</t>
  </si>
  <si>
    <t xml:space="preserve">Report safety </t>
  </si>
  <si>
    <t>report maintenance</t>
  </si>
  <si>
    <t>Hot Surface</t>
  </si>
  <si>
    <t>energy &amp; saving analysis</t>
  </si>
  <si>
    <t xml:space="preserve">Summary structure </t>
  </si>
  <si>
    <t xml:space="preserve">Energy &amp; savings analysis </t>
  </si>
  <si>
    <t xml:space="preserve">Report energy </t>
  </si>
  <si>
    <t>Report safety</t>
  </si>
  <si>
    <t xml:space="preserve">Report maintenance </t>
  </si>
  <si>
    <t>Report others</t>
  </si>
  <si>
    <t>Medium or Surf Temp.</t>
  </si>
  <si>
    <t>θse
Medium or Surface temp</t>
  </si>
  <si>
    <t>min mm</t>
  </si>
  <si>
    <t>max mm</t>
  </si>
  <si>
    <t>min</t>
  </si>
  <si>
    <t>max</t>
  </si>
  <si>
    <t>ref min</t>
  </si>
  <si>
    <t>ref max</t>
  </si>
  <si>
    <t>tank roof</t>
  </si>
  <si>
    <r>
      <t>§</t>
    </r>
    <r>
      <rPr>
        <sz val="18"/>
        <color rgb="FF000000"/>
        <rFont val="Calibri"/>
        <family val="2"/>
        <scheme val="minor"/>
      </rPr>
      <t xml:space="preserve">Lambda simulation (Ftot=1,5) and approximated calculation q </t>
    </r>
  </si>
  <si>
    <t>MIN</t>
  </si>
  <si>
    <t xml:space="preserve">max </t>
  </si>
  <si>
    <t xml:space="preserve">Considering as a flat surface, conservative calculation for uninsulated and insulated </t>
  </si>
  <si>
    <t xml:space="preserve">Non - insulated </t>
  </si>
  <si>
    <t>Same formulas than surface but with 1m2 by default . Only min potential savings</t>
  </si>
  <si>
    <t>NOT TBi. Eiif table</t>
  </si>
  <si>
    <t>Max heat loss ref</t>
  </si>
  <si>
    <t>W/M2</t>
  </si>
  <si>
    <r>
      <t>Ref max heat loss</t>
    </r>
    <r>
      <rPr>
        <sz val="10"/>
        <color theme="1"/>
        <rFont val="Times New Roman"/>
        <family val="1"/>
      </rPr>
      <t xml:space="preserve"> =</t>
    </r>
  </si>
  <si>
    <t xml:space="preserve">Safety risk </t>
  </si>
  <si>
    <t>hot surface</t>
  </si>
  <si>
    <t xml:space="preserve">fire protection </t>
  </si>
  <si>
    <t xml:space="preserve">leakage </t>
  </si>
  <si>
    <t>dangerous</t>
  </si>
  <si>
    <t xml:space="preserve">other </t>
  </si>
  <si>
    <t>Housekeeping</t>
  </si>
  <si>
    <t xml:space="preserve">Structural </t>
  </si>
  <si>
    <t>Damaged insulation /cladding</t>
  </si>
  <si>
    <t>Structural</t>
  </si>
  <si>
    <t xml:space="preserve">Cladding </t>
  </si>
  <si>
    <t xml:space="preserve">Lack of insualtion </t>
  </si>
  <si>
    <t xml:space="preserve">Old insualtion </t>
  </si>
  <si>
    <t>Insulation</t>
  </si>
  <si>
    <t xml:space="preserve">Hot Surface </t>
  </si>
  <si>
    <t>Flange 2345</t>
  </si>
  <si>
    <t>Burner L6</t>
  </si>
  <si>
    <t>Dimension</t>
  </si>
  <si>
    <t xml:space="preserve">Leakage </t>
  </si>
  <si>
    <t>Pipe 2119</t>
  </si>
  <si>
    <t>Painted ε=0,9</t>
  </si>
  <si>
    <t xml:space="preserve">Defaul value </t>
  </si>
  <si>
    <t xml:space="preserve">Metallic bright  </t>
  </si>
  <si>
    <t xml:space="preserve">Metallic  </t>
  </si>
  <si>
    <t xml:space="preserve">Corroded </t>
  </si>
  <si>
    <t xml:space="preserve">Painted </t>
  </si>
  <si>
    <t xml:space="preserve">Non metallic </t>
  </si>
  <si>
    <t>Project name</t>
  </si>
  <si>
    <t xml:space="preserve">Energy price </t>
  </si>
  <si>
    <t xml:space="preserve">Project leader </t>
  </si>
  <si>
    <t>Energy Manager</t>
  </si>
  <si>
    <t>Maintenance Manager</t>
  </si>
  <si>
    <t>HSE Manager</t>
  </si>
  <si>
    <t xml:space="preserve">email </t>
  </si>
  <si>
    <t>θse
Medium/Surface temp</t>
  </si>
  <si>
    <t xml:space="preserve">ε surface material </t>
  </si>
  <si>
    <t>----</t>
  </si>
  <si>
    <t>Material Surface - emissivity ε=</t>
  </si>
  <si>
    <t>Text</t>
  </si>
  <si>
    <t xml:space="preserve">value </t>
  </si>
  <si>
    <t xml:space="preserve">Operational time  </t>
  </si>
  <si>
    <t>Number or constants</t>
  </si>
  <si>
    <t xml:space="preserve">Coeficients </t>
  </si>
  <si>
    <t xml:space="preserve">hcv </t>
  </si>
  <si>
    <t>S
Surface in m²</t>
  </si>
  <si>
    <t>OT
Op Time in hr</t>
  </si>
  <si>
    <t>€
Energy price €/kWh</t>
  </si>
  <si>
    <t>Insulation thickness, e</t>
  </si>
  <si>
    <t xml:space="preserve"> Boltzmann cte, σ=</t>
  </si>
  <si>
    <r>
      <rPr>
        <b/>
        <sz val="11"/>
        <color rgb="FFFF0000"/>
        <rFont val="Calibri"/>
        <family val="2"/>
        <scheme val="minor"/>
      </rPr>
      <t>S</t>
    </r>
    <r>
      <rPr>
        <b/>
        <sz val="11"/>
        <color theme="1"/>
        <rFont val="Calibri"/>
        <family val="2"/>
        <scheme val="minor"/>
      </rPr>
      <t xml:space="preserve">
Surface in m²</t>
    </r>
  </si>
  <si>
    <r>
      <rPr>
        <b/>
        <sz val="11"/>
        <color rgb="FFFF0000"/>
        <rFont val="Calibri"/>
        <family val="2"/>
        <scheme val="minor"/>
      </rPr>
      <t>θse</t>
    </r>
    <r>
      <rPr>
        <b/>
        <sz val="11"/>
        <color theme="1"/>
        <rFont val="Calibri"/>
        <family val="2"/>
        <scheme val="minor"/>
      </rPr>
      <t xml:space="preserve">
Medium/Surface temp</t>
    </r>
  </si>
  <si>
    <r>
      <rPr>
        <b/>
        <sz val="11"/>
        <color rgb="FFFF0000"/>
        <rFont val="Calibri"/>
        <family val="2"/>
        <scheme val="minor"/>
      </rPr>
      <t>θa</t>
    </r>
    <r>
      <rPr>
        <b/>
        <sz val="11"/>
        <color theme="1"/>
        <rFont val="Calibri"/>
        <family val="2"/>
        <scheme val="minor"/>
      </rPr>
      <t xml:space="preserve">
Amb temp </t>
    </r>
  </si>
  <si>
    <r>
      <rPr>
        <b/>
        <sz val="11"/>
        <color rgb="FFFF0000"/>
        <rFont val="Calibri"/>
        <family val="2"/>
        <scheme val="minor"/>
      </rPr>
      <t xml:space="preserve">ε
</t>
    </r>
    <r>
      <rPr>
        <b/>
        <sz val="11"/>
        <color theme="1"/>
        <rFont val="Calibri"/>
        <family val="2"/>
        <scheme val="minor"/>
      </rPr>
      <t xml:space="preserve"> surface material </t>
    </r>
  </si>
  <si>
    <r>
      <rPr>
        <b/>
        <sz val="11"/>
        <color rgb="FFFF0000"/>
        <rFont val="Calibri"/>
        <family val="2"/>
        <scheme val="minor"/>
      </rPr>
      <t>OT</t>
    </r>
    <r>
      <rPr>
        <b/>
        <sz val="11"/>
        <color theme="1"/>
        <rFont val="Calibri"/>
        <family val="2"/>
        <scheme val="minor"/>
      </rPr>
      <t xml:space="preserve">
Op Time in hr</t>
    </r>
  </si>
  <si>
    <r>
      <rPr>
        <b/>
        <sz val="11"/>
        <color rgb="FFFF0000"/>
        <rFont val="Calibri"/>
        <family val="2"/>
        <scheme val="minor"/>
      </rPr>
      <t>€</t>
    </r>
    <r>
      <rPr>
        <b/>
        <sz val="11"/>
        <color theme="1"/>
        <rFont val="Calibri"/>
        <family val="2"/>
        <scheme val="minor"/>
      </rPr>
      <t xml:space="preserve">
Energy price €/kWh</t>
    </r>
  </si>
  <si>
    <r>
      <rPr>
        <b/>
        <sz val="11"/>
        <color rgb="FFFF0000"/>
        <rFont val="Calibri"/>
        <family val="2"/>
        <scheme val="minor"/>
      </rPr>
      <t>hcv</t>
    </r>
    <r>
      <rPr>
        <b/>
        <sz val="11"/>
        <color theme="1"/>
        <rFont val="Calibri"/>
        <family val="2"/>
        <scheme val="minor"/>
      </rPr>
      <t xml:space="preserve"> </t>
    </r>
  </si>
  <si>
    <r>
      <t>λ</t>
    </r>
    <r>
      <rPr>
        <b/>
        <vertAlign val="subscript"/>
        <sz val="11"/>
        <color rgb="FFFF0000"/>
        <rFont val="Times New Roman"/>
        <family val="1"/>
      </rPr>
      <t>des</t>
    </r>
  </si>
  <si>
    <r>
      <rPr>
        <b/>
        <sz val="11"/>
        <color rgb="FFFF0000"/>
        <rFont val="Times New Roman"/>
        <family val="1"/>
      </rPr>
      <t>λ</t>
    </r>
    <r>
      <rPr>
        <b/>
        <vertAlign val="subscript"/>
        <sz val="11"/>
        <color rgb="FFFF0000"/>
        <rFont val="Times New Roman"/>
        <family val="1"/>
      </rPr>
      <t>m</t>
    </r>
  </si>
  <si>
    <r>
      <t xml:space="preserve">Insulation thickness, </t>
    </r>
    <r>
      <rPr>
        <b/>
        <sz val="10"/>
        <color rgb="FFFF0000"/>
        <rFont val="Calibri"/>
        <family val="2"/>
        <scheme val="minor"/>
      </rPr>
      <t>e</t>
    </r>
  </si>
  <si>
    <t>Mineral wool 1.6.2b Pipe sections 50-80 kg/m³</t>
  </si>
  <si>
    <r>
      <t xml:space="preserve">m2/m, </t>
    </r>
    <r>
      <rPr>
        <b/>
        <sz val="10"/>
        <color rgb="FFFF0000"/>
        <rFont val="Calibri"/>
        <family val="2"/>
        <scheme val="minor"/>
      </rPr>
      <t>Sp</t>
    </r>
  </si>
  <si>
    <t>D e,min/max</t>
  </si>
  <si>
    <t>ql
W/m</t>
  </si>
  <si>
    <t>De,min</t>
  </si>
  <si>
    <t>De,max</t>
  </si>
  <si>
    <t>default</t>
  </si>
  <si>
    <t>n
number</t>
  </si>
  <si>
    <t>"Savings can be achieved by increasing insulation performance or thickness"</t>
  </si>
  <si>
    <t>"Savings can be achieved by increasing the insulant performance or thickness"</t>
  </si>
  <si>
    <t>"Potential savings per m² if increase of insulation preformance or thickness . Total surface must be defined"</t>
  </si>
  <si>
    <t>Undefined</t>
  </si>
  <si>
    <t xml:space="preserve">Condensation </t>
  </si>
  <si>
    <t>3 No potential saving information for insulated systems</t>
  </si>
  <si>
    <t>UNDEFINED</t>
  </si>
  <si>
    <t xml:space="preserve">DAMAGED </t>
  </si>
  <si>
    <t>CONDENSATION</t>
  </si>
  <si>
    <t>energy</t>
  </si>
  <si>
    <t xml:space="preserve">basic report </t>
  </si>
  <si>
    <t>I Undefined</t>
  </si>
  <si>
    <t>If component/location field is empty</t>
  </si>
  <si>
    <t xml:space="preserve">If surface material is empty </t>
  </si>
  <si>
    <t>Commmertialization</t>
  </si>
  <si>
    <t>Bugs control with customers</t>
  </si>
  <si>
    <t xml:space="preserve">If medium temperature is empty </t>
  </si>
  <si>
    <t>indicate Hot Surface in the summary (safety)</t>
  </si>
  <si>
    <r>
      <t xml:space="preserve">If surface temperature &gt; </t>
    </r>
    <r>
      <rPr>
        <sz val="11"/>
        <color rgb="FFFF0000"/>
        <rFont val="Calibri"/>
        <family val="2"/>
        <scheme val="minor"/>
      </rPr>
      <t>"Safety warning for θse"</t>
    </r>
    <r>
      <rPr>
        <sz val="11"/>
        <color theme="1"/>
        <rFont val="Calibri"/>
        <family val="2"/>
        <scheme val="minor"/>
      </rPr>
      <t xml:space="preserve"> default value</t>
    </r>
  </si>
  <si>
    <t xml:space="preserve">Warning </t>
  </si>
  <si>
    <t xml:space="preserve">Advise </t>
  </si>
  <si>
    <t xml:space="preserve">If Length is empty </t>
  </si>
  <si>
    <t>External Diameter</t>
  </si>
  <si>
    <t>Number of items</t>
  </si>
  <si>
    <t>Nominal Diameter (DN)</t>
  </si>
  <si>
    <t>If Items number of items  is empty</t>
  </si>
  <si>
    <t xml:space="preserve">Items number </t>
  </si>
  <si>
    <t xml:space="preserve"> "SAFETY - Insulation required"</t>
  </si>
  <si>
    <t xml:space="preserve">System ok </t>
  </si>
  <si>
    <r>
      <t xml:space="preserve">Safety warning for cold </t>
    </r>
    <r>
      <rPr>
        <sz val="11"/>
        <color theme="1"/>
        <rFont val="Times New Roman"/>
        <family val="1"/>
      </rPr>
      <t>θ</t>
    </r>
    <r>
      <rPr>
        <sz val="11"/>
        <color theme="1"/>
        <rFont val="Calibri"/>
        <family val="2"/>
      </rPr>
      <t>se&lt;</t>
    </r>
  </si>
  <si>
    <t>If surface temperature &lt; medium temperature &amp; &lt; ambient temp</t>
  </si>
  <si>
    <t xml:space="preserve">Please check temperatures </t>
  </si>
  <si>
    <t xml:space="preserve">Please input Component/ Location </t>
  </si>
  <si>
    <t xml:space="preserve">Please input Ambient temperature </t>
  </si>
  <si>
    <t xml:space="preserve">Summary </t>
  </si>
  <si>
    <t>System ok</t>
  </si>
  <si>
    <t>Insulation recommended</t>
  </si>
  <si>
    <t xml:space="preserve">SAFETY - Insulation recommended </t>
  </si>
  <si>
    <t>Recommended</t>
  </si>
  <si>
    <t>Total surface must be defined. Units per m²</t>
  </si>
  <si>
    <t>Define total surface</t>
  </si>
  <si>
    <t>Saving can be achieved ……..</t>
  </si>
  <si>
    <t>OK</t>
  </si>
  <si>
    <r>
      <t xml:space="preserve"> </t>
    </r>
    <r>
      <rPr>
        <sz val="11"/>
        <color theme="1"/>
        <rFont val="Calibri"/>
        <family val="2"/>
      </rPr>
      <t xml:space="preserve">↑ </t>
    </r>
    <r>
      <rPr>
        <sz val="11"/>
        <color theme="1"/>
        <rFont val="Calibri"/>
        <family val="2"/>
        <scheme val="minor"/>
      </rPr>
      <t>Performance or thickness</t>
    </r>
  </si>
  <si>
    <t>Advise in the component screen (formulas 30, 31, 49, 50)</t>
  </si>
  <si>
    <t>round outputs ??</t>
  </si>
  <si>
    <t>1.-</t>
  </si>
  <si>
    <t>2.-</t>
  </si>
  <si>
    <t>4.-</t>
  </si>
  <si>
    <t>Input</t>
  </si>
  <si>
    <t>Y</t>
  </si>
  <si>
    <t>N</t>
  </si>
  <si>
    <t>Manhole 71</t>
  </si>
  <si>
    <t>Corroded</t>
  </si>
  <si>
    <t>Railing</t>
  </si>
  <si>
    <t>Tank roof 58</t>
  </si>
  <si>
    <t>Flange 234/240</t>
  </si>
  <si>
    <t>Surface &amp; unknown</t>
  </si>
  <si>
    <t>Insulated Surface &amp; unknown</t>
  </si>
  <si>
    <t>Criteria for Insulated, θa ref</t>
  </si>
  <si>
    <r>
      <t>Criteria for Insulated, Ref max heat loss</t>
    </r>
    <r>
      <rPr>
        <sz val="10"/>
        <color theme="1"/>
        <rFont val="Times New Roman"/>
        <family val="1"/>
      </rPr>
      <t xml:space="preserve"> =</t>
    </r>
  </si>
  <si>
    <t>Solo warning si el nombre no se rellena. El resto no es obligatorio</t>
  </si>
  <si>
    <t>Damaged cladding</t>
  </si>
  <si>
    <t>Seleccionar si la dimension principal es en m² o es una surficie curva dada en diametro exterior y longitud</t>
  </si>
  <si>
    <t xml:space="preserve">Si se selecciona damaged cladding, aparecen estas opciones, igual para damaged insualtion </t>
  </si>
  <si>
    <t xml:space="preserve"> --&gt; Cladding holds insualtion in place an protect it from external agents ensuring its performance</t>
  </si>
  <si>
    <t xml:space="preserve">add a comment depending on the selection </t>
  </si>
  <si>
    <t>General value ε=0,8</t>
  </si>
  <si>
    <t>Summary id</t>
  </si>
  <si>
    <t>Damaged</t>
  </si>
  <si>
    <t>Condensation</t>
  </si>
  <si>
    <t>Fire Protect</t>
  </si>
  <si>
    <t>Mechanical</t>
  </si>
  <si>
    <t>Electrical</t>
  </si>
  <si>
    <t>MWh</t>
  </si>
  <si>
    <t>Surface (m²)</t>
  </si>
  <si>
    <t>Length</t>
  </si>
  <si>
    <t>others</t>
  </si>
  <si>
    <t>Add&gt;&gt;</t>
  </si>
  <si>
    <t xml:space="preserve">Maintenace </t>
  </si>
  <si>
    <t>LOSES</t>
  </si>
  <si>
    <t>BASIC</t>
  </si>
  <si>
    <t>ECO</t>
  </si>
  <si>
    <t xml:space="preserve">CO2 emissions </t>
  </si>
  <si>
    <t>1 pound/Btu (th) = 1548757.170172 gram/kilowatt-hour</t>
  </si>
  <si>
    <t>pound/MBtu</t>
  </si>
  <si>
    <t>https://www.eia.gov/tools/faqs/faq.php?id=73&amp;t=11</t>
  </si>
  <si>
    <t>https://www.translatorscafe.com/unit-converter/en/fuel-efficiency-mass/5-15/Btu%20(IT)%2Fpound-gram%2Fkilowatt-hour/</t>
  </si>
  <si>
    <t>gr/kWh</t>
  </si>
  <si>
    <t xml:space="preserve">
gr CO2 emission per kWh</t>
  </si>
  <si>
    <t>CO2  emissions</t>
  </si>
  <si>
    <t>gr CO2 per kWh</t>
  </si>
  <si>
    <t xml:space="preserve">there is a list of default values </t>
  </si>
  <si>
    <r>
      <t xml:space="preserve">Q
</t>
    </r>
    <r>
      <rPr>
        <b/>
        <sz val="11"/>
        <color theme="1"/>
        <rFont val="Calibri"/>
        <family val="2"/>
        <scheme val="minor"/>
      </rPr>
      <t>tn CO2 emission</t>
    </r>
  </si>
  <si>
    <t>tn CO2 emission</t>
  </si>
  <si>
    <r>
      <t>tn CO</t>
    </r>
    <r>
      <rPr>
        <b/>
        <vertAlign val="subscript"/>
        <sz val="11"/>
        <rFont val="Calibri"/>
        <family val="2"/>
        <scheme val="minor"/>
      </rPr>
      <t>2</t>
    </r>
  </si>
  <si>
    <t xml:space="preserve">Potential 
savings 
</t>
  </si>
  <si>
    <t>TBi  Advise</t>
  </si>
  <si>
    <r>
      <t>tn CO</t>
    </r>
    <r>
      <rPr>
        <vertAlign val="subscript"/>
        <sz val="11"/>
        <rFont val="Calibri"/>
        <family val="2"/>
        <scheme val="minor"/>
      </rPr>
      <t>2</t>
    </r>
  </si>
  <si>
    <t>Energy &amp; CO2 analysis per year</t>
  </si>
  <si>
    <t xml:space="preserve">Current Losses &amp; Emissions
</t>
  </si>
  <si>
    <t>Diameter (mm)</t>
  </si>
  <si>
    <t xml:space="preserve">TOTAL
 PROJECT </t>
  </si>
  <si>
    <t>Step 1</t>
  </si>
  <si>
    <t>Step 2</t>
  </si>
  <si>
    <t>Step 3</t>
  </si>
  <si>
    <t>texto alineado with current</t>
  </si>
  <si>
    <t>misma talla de letra que annual savving text from xxx€ to xxxx€</t>
  </si>
  <si>
    <t xml:space="preserve">si gas </t>
  </si>
  <si>
    <t>Coal anthracite - eia</t>
  </si>
  <si>
    <t>Coal bituminous - eia</t>
  </si>
  <si>
    <t>Coal lignite - eia</t>
  </si>
  <si>
    <t>Gasoline - eia</t>
  </si>
  <si>
    <t>Propane - eia</t>
  </si>
  <si>
    <t>Natural gas - eia</t>
  </si>
  <si>
    <t>Coal import - VDI 4610</t>
  </si>
  <si>
    <t>Heavy fuel oil - VDI 4610</t>
  </si>
  <si>
    <t>Natural gas - VDI 4610</t>
  </si>
  <si>
    <t>Diesel - eia</t>
  </si>
  <si>
    <t>Surface Material &gt;1 or &lt;0</t>
  </si>
  <si>
    <t>Operational time &gt;8760 or &lt;0</t>
  </si>
  <si>
    <t xml:space="preserve">Operational time must be between 0 and 8760 hours </t>
  </si>
  <si>
    <t>Surface material emissivity must be between 0 and 1</t>
  </si>
  <si>
    <t xml:space="preserve">Diameter =&lt; 0 </t>
  </si>
  <si>
    <t>Length =&lt; 0</t>
  </si>
  <si>
    <t>Length must be &gt; 0 m</t>
  </si>
  <si>
    <t>Diameter must be &gt; 0mm</t>
  </si>
  <si>
    <t>Energy cost =&lt; 0</t>
  </si>
  <si>
    <t xml:space="preserve">no saved project </t>
  </si>
  <si>
    <t>CO2 =&lt; 0</t>
  </si>
  <si>
    <t>energy cost must be &gt; 0</t>
  </si>
  <si>
    <t>CO2 emission must be &gt; 0</t>
  </si>
  <si>
    <t>Coal Rheinland- VDI 4610</t>
  </si>
  <si>
    <t>Brown coal dust - VDI 4610</t>
  </si>
  <si>
    <t>Numbers of items =&lt;0</t>
  </si>
  <si>
    <t>Number of items must be &gt; 0</t>
  </si>
  <si>
    <t>Surface =&lt; 0</t>
  </si>
  <si>
    <t>Surface must be &gt; 0 m</t>
  </si>
  <si>
    <t xml:space="preserve">Surface temperature must be at least 5°C diferent than ambient temperature </t>
  </si>
  <si>
    <t xml:space="preserve">ABS( Surface Material - Ambient temperature)  &lt; 5   (el valor absoluto de la diferencia de temperaturas menor de 5 °C) </t>
  </si>
  <si>
    <t>If Insulated</t>
  </si>
  <si>
    <t xml:space="preserve">If surface temperature &lt; ambient temperature </t>
  </si>
  <si>
    <t>aaaaa</t>
  </si>
  <si>
    <t>R46=R45*0,8 (en el excel del insualted surface or pipe)</t>
  </si>
  <si>
    <t>R47=R45*0,45 (en el excel del insualted surface or pipe)</t>
  </si>
  <si>
    <t>surface temperature &gt; 999°C</t>
  </si>
  <si>
    <t>Surface temperarrure must be &lt; 1000°C</t>
  </si>
  <si>
    <t xml:space="preserve">If surface temperature &lt; ambient temperaure </t>
  </si>
  <si>
    <t xml:space="preserve">report ficticio en others  "Cold Surface" </t>
  </si>
  <si>
    <t>ok</t>
  </si>
  <si>
    <t>revisar texto</t>
  </si>
  <si>
    <r>
      <t xml:space="preserve">Please input </t>
    </r>
    <r>
      <rPr>
        <sz val="11"/>
        <color rgb="FFFF0000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perational time </t>
    </r>
  </si>
  <si>
    <r>
      <t xml:space="preserve">Please input </t>
    </r>
    <r>
      <rPr>
        <sz val="11"/>
        <color rgb="FFFF0000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urface in m² </t>
    </r>
  </si>
  <si>
    <r>
      <t xml:space="preserve">Please input </t>
    </r>
    <r>
      <rPr>
        <sz val="11"/>
        <color rgb="FFFF0000"/>
        <rFont val="Calibri"/>
        <family val="2"/>
        <scheme val="minor"/>
      </rPr>
      <t xml:space="preserve">Diameter (mm) </t>
    </r>
  </si>
  <si>
    <t xml:space="preserve">Please input Length </t>
  </si>
  <si>
    <r>
      <t xml:space="preserve">Please input </t>
    </r>
    <r>
      <rPr>
        <sz val="11"/>
        <color rgb="FFFF0000"/>
        <rFont val="Calibri"/>
        <family val="2"/>
        <scheme val="minor"/>
      </rPr>
      <t xml:space="preserve">Number of items </t>
    </r>
  </si>
  <si>
    <r>
      <t xml:space="preserve">Please input </t>
    </r>
    <r>
      <rPr>
        <sz val="11"/>
        <color rgb="FFFF0000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urface emissivity </t>
    </r>
  </si>
  <si>
    <r>
      <t xml:space="preserve">If  </t>
    </r>
    <r>
      <rPr>
        <sz val="11"/>
        <color rgb="FFFF0000"/>
        <rFont val="Calibri"/>
        <family val="2"/>
        <scheme val="minor"/>
      </rPr>
      <t>Diameter (mm)</t>
    </r>
    <r>
      <rPr>
        <sz val="11"/>
        <color theme="1"/>
        <rFont val="Calibri"/>
        <family val="2"/>
        <scheme val="minor"/>
      </rPr>
      <t xml:space="preserve"> is empty </t>
    </r>
  </si>
  <si>
    <r>
      <t xml:space="preserve">Please input </t>
    </r>
    <r>
      <rPr>
        <sz val="11"/>
        <color rgb="FFFF0000"/>
        <rFont val="Calibri"/>
        <family val="2"/>
        <scheme val="minor"/>
      </rPr>
      <t>Surface temperature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</si>
  <si>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Please input </t>
    </r>
    <r>
      <rPr>
        <sz val="11"/>
        <color rgb="FFFF0000"/>
        <rFont val="Calibri"/>
        <family val="2"/>
        <scheme val="minor"/>
      </rPr>
      <t>Medium temperature</t>
    </r>
  </si>
  <si>
    <t>funciona mal (surf temp menor que medium y menor que ambient</t>
  </si>
  <si>
    <t>funciona mal, safety warning = 55°C</t>
  </si>
  <si>
    <t xml:space="preserve">revisar texto </t>
  </si>
  <si>
    <r>
      <t xml:space="preserve">It is an un-insulated system, </t>
    </r>
    <r>
      <rPr>
        <sz val="11"/>
        <color rgb="FFFF0000"/>
        <rFont val="Calibri"/>
        <family val="2"/>
        <scheme val="minor"/>
      </rPr>
      <t>change selection</t>
    </r>
  </si>
  <si>
    <t xml:space="preserve">no mostrar columnas de basic and good insualtion </t>
  </si>
</sst>
</file>

<file path=xl/styles.xml><?xml version="1.0" encoding="utf-8"?>
<styleSheet xmlns="http://schemas.openxmlformats.org/spreadsheetml/2006/main">
  <numFmts count="7">
    <numFmt numFmtId="164" formatCode="0.0E+00"/>
    <numFmt numFmtId="165" formatCode="#,##0\ [$€-C0A]"/>
    <numFmt numFmtId="166" formatCode="0.0"/>
    <numFmt numFmtId="167" formatCode="0.000"/>
    <numFmt numFmtId="168" formatCode="#,##0.0"/>
    <numFmt numFmtId="169" formatCode="#,##0.000"/>
    <numFmt numFmtId="170" formatCode="#,##0.0\ [$€-C0A]"/>
  </numFmts>
  <fonts count="9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vertAlign val="superscript"/>
      <sz val="16"/>
      <color theme="0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206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4" tint="-0.499984740745262"/>
      <name val="Calibri"/>
      <family val="2"/>
      <scheme val="minor"/>
    </font>
    <font>
      <b/>
      <sz val="18"/>
      <color theme="9" tint="-0.249977111117893"/>
      <name val="Calibri"/>
      <family val="2"/>
      <scheme val="minor"/>
    </font>
    <font>
      <b/>
      <sz val="20"/>
      <color theme="4" tint="-0.499984740745262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b/>
      <i/>
      <sz val="16"/>
      <color theme="0" tint="-0.499984740745262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i/>
      <sz val="16"/>
      <color theme="0" tint="-0.14999847407452621"/>
      <name val="Calibri"/>
      <family val="2"/>
      <scheme val="minor"/>
    </font>
    <font>
      <b/>
      <i/>
      <sz val="14"/>
      <color theme="0" tint="-0.499984740745262"/>
      <name val="Calibri"/>
      <family val="2"/>
      <scheme val="minor"/>
    </font>
    <font>
      <b/>
      <sz val="16"/>
      <color theme="0" tint="-0.14999847407452621"/>
      <name val="Calibri"/>
      <family val="2"/>
      <scheme val="minor"/>
    </font>
    <font>
      <b/>
      <sz val="8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b/>
      <sz val="16"/>
      <color theme="8" tint="-0.499984740745262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vertAlign val="subscript"/>
      <sz val="11"/>
      <color theme="1"/>
      <name val="Times New Roman"/>
      <family val="1"/>
    </font>
    <font>
      <b/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Arial"/>
      <family val="2"/>
    </font>
    <font>
      <sz val="18"/>
      <color rgb="FF000000"/>
      <name val="Calibri"/>
      <family val="2"/>
      <scheme val="minor"/>
    </font>
    <font>
      <sz val="5.5"/>
      <color theme="1"/>
      <name val="Wingdings"/>
      <charset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0"/>
      <color rgb="FFFF0000"/>
      <name val="Calibri"/>
      <family val="2"/>
      <scheme val="minor"/>
    </font>
    <font>
      <b/>
      <sz val="72"/>
      <color theme="0"/>
      <name val="Arial"/>
      <family val="2"/>
    </font>
    <font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3D3D3D"/>
      <name val="Arial"/>
      <family val="2"/>
    </font>
    <font>
      <b/>
      <sz val="9"/>
      <color rgb="FF3D3D3D"/>
      <name val="Arial"/>
      <family val="2"/>
    </font>
    <font>
      <u/>
      <sz val="11"/>
      <color theme="1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4"/>
      <color theme="4" tint="0.39997558519241921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b/>
      <sz val="11"/>
      <color theme="0"/>
      <name val="Times New Roman"/>
      <family val="1"/>
    </font>
    <font>
      <i/>
      <sz val="8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Bradley Hand ITC"/>
      <family val="4"/>
    </font>
    <font>
      <b/>
      <i/>
      <sz val="12"/>
      <color theme="0" tint="-0.499984740745262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0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8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7"/>
      <color rgb="FF777777"/>
      <name val="Consolas"/>
      <family val="3"/>
    </font>
    <font>
      <b/>
      <sz val="8"/>
      <color theme="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b/>
      <sz val="14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74">
    <border>
      <left/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3">
    <xf numFmtId="165" fontId="0" fillId="0" borderId="0"/>
    <xf numFmtId="165" fontId="58" fillId="0" borderId="0" applyNumberFormat="0" applyFill="0" applyBorder="0" applyAlignment="0" applyProtection="0"/>
    <xf numFmtId="9" fontId="71" fillId="0" borderId="0" applyFont="0" applyFill="0" applyBorder="0" applyAlignment="0" applyProtection="0"/>
  </cellStyleXfs>
  <cellXfs count="1010">
    <xf numFmtId="165" fontId="0" fillId="0" borderId="0" xfId="0"/>
    <xf numFmtId="165" fontId="0" fillId="4" borderId="0" xfId="0" applyFill="1"/>
    <xf numFmtId="165" fontId="0" fillId="5" borderId="0" xfId="0" applyFill="1"/>
    <xf numFmtId="165" fontId="2" fillId="4" borderId="0" xfId="0" applyFont="1" applyFill="1"/>
    <xf numFmtId="165" fontId="0" fillId="4" borderId="0" xfId="0" applyFill="1" applyBorder="1"/>
    <xf numFmtId="165" fontId="0" fillId="4" borderId="1" xfId="0" applyFill="1" applyBorder="1"/>
    <xf numFmtId="165" fontId="0" fillId="4" borderId="2" xfId="0" applyFill="1" applyBorder="1"/>
    <xf numFmtId="165" fontId="0" fillId="4" borderId="3" xfId="0" applyFill="1" applyBorder="1"/>
    <xf numFmtId="165" fontId="0" fillId="4" borderId="4" xfId="0" applyFill="1" applyBorder="1"/>
    <xf numFmtId="165" fontId="0" fillId="4" borderId="5" xfId="0" applyFill="1" applyBorder="1"/>
    <xf numFmtId="165" fontId="0" fillId="4" borderId="6" xfId="0" applyFill="1" applyBorder="1"/>
    <xf numFmtId="165" fontId="0" fillId="4" borderId="7" xfId="0" applyFill="1" applyBorder="1"/>
    <xf numFmtId="165" fontId="0" fillId="4" borderId="8" xfId="0" applyFill="1" applyBorder="1"/>
    <xf numFmtId="165" fontId="0" fillId="4" borderId="9" xfId="0" applyFill="1" applyBorder="1"/>
    <xf numFmtId="165" fontId="4" fillId="4" borderId="0" xfId="0" applyFont="1" applyFill="1" applyBorder="1" applyAlignment="1"/>
    <xf numFmtId="165" fontId="0" fillId="4" borderId="0" xfId="0" applyFill="1" applyBorder="1" applyAlignment="1"/>
    <xf numFmtId="165" fontId="0" fillId="5" borderId="0" xfId="0" applyFill="1" applyBorder="1"/>
    <xf numFmtId="165" fontId="0" fillId="0" borderId="0" xfId="0" applyBorder="1"/>
    <xf numFmtId="165" fontId="3" fillId="4" borderId="0" xfId="0" applyFont="1" applyFill="1" applyBorder="1" applyAlignment="1">
      <alignment vertical="center" wrapText="1"/>
    </xf>
    <xf numFmtId="165" fontId="3" fillId="4" borderId="0" xfId="0" applyFont="1" applyFill="1" applyBorder="1" applyAlignment="1">
      <alignment vertical="center"/>
    </xf>
    <xf numFmtId="165" fontId="0" fillId="3" borderId="0" xfId="0" applyFill="1" applyBorder="1"/>
    <xf numFmtId="165" fontId="0" fillId="3" borderId="0" xfId="0" applyFill="1" applyBorder="1" applyAlignment="1"/>
    <xf numFmtId="165" fontId="0" fillId="5" borderId="0" xfId="0" applyFill="1" applyBorder="1" applyAlignment="1">
      <alignment vertical="center"/>
    </xf>
    <xf numFmtId="165" fontId="0" fillId="0" borderId="0" xfId="0" applyBorder="1" applyAlignment="1">
      <alignment vertical="center"/>
    </xf>
    <xf numFmtId="165" fontId="8" fillId="5" borderId="0" xfId="0" applyFont="1" applyFill="1" applyBorder="1"/>
    <xf numFmtId="165" fontId="8" fillId="5" borderId="0" xfId="0" applyFont="1" applyFill="1" applyBorder="1" applyAlignment="1">
      <alignment vertical="center"/>
    </xf>
    <xf numFmtId="165" fontId="0" fillId="4" borderId="0" xfId="0" applyFill="1" applyBorder="1" applyAlignment="1">
      <alignment vertical="center"/>
    </xf>
    <xf numFmtId="165" fontId="5" fillId="4" borderId="0" xfId="0" applyFont="1" applyFill="1" applyBorder="1" applyAlignment="1">
      <alignment vertical="center"/>
    </xf>
    <xf numFmtId="165" fontId="4" fillId="4" borderId="0" xfId="0" applyFont="1" applyFill="1" applyBorder="1" applyAlignment="1">
      <alignment vertical="center"/>
    </xf>
    <xf numFmtId="165" fontId="4" fillId="4" borderId="1" xfId="0" applyFont="1" applyFill="1" applyBorder="1" applyAlignment="1"/>
    <xf numFmtId="165" fontId="4" fillId="4" borderId="2" xfId="0" applyFont="1" applyFill="1" applyBorder="1" applyAlignment="1"/>
    <xf numFmtId="165" fontId="0" fillId="4" borderId="4" xfId="0" applyFill="1" applyBorder="1" applyAlignment="1">
      <alignment vertical="center"/>
    </xf>
    <xf numFmtId="165" fontId="9" fillId="4" borderId="0" xfId="0" applyFont="1" applyFill="1" applyBorder="1" applyAlignment="1">
      <alignment vertical="center"/>
    </xf>
    <xf numFmtId="165" fontId="0" fillId="4" borderId="0" xfId="0" applyFill="1" applyBorder="1" applyAlignment="1">
      <alignment horizontal="right"/>
    </xf>
    <xf numFmtId="165" fontId="0" fillId="0" borderId="0" xfId="0" applyAlignment="1">
      <alignment wrapText="1"/>
    </xf>
    <xf numFmtId="165" fontId="1" fillId="5" borderId="0" xfId="0" applyFont="1" applyFill="1" applyBorder="1" applyAlignment="1">
      <alignment horizontal="left"/>
    </xf>
    <xf numFmtId="165" fontId="0" fillId="5" borderId="0" xfId="0" applyFill="1" applyBorder="1" applyAlignment="1">
      <alignment horizontal="center"/>
    </xf>
    <xf numFmtId="165" fontId="0" fillId="5" borderId="20" xfId="0" applyFill="1" applyBorder="1"/>
    <xf numFmtId="165" fontId="0" fillId="5" borderId="0" xfId="0" applyFill="1" applyBorder="1" applyAlignment="1">
      <alignment horizontal="right"/>
    </xf>
    <xf numFmtId="165" fontId="3" fillId="4" borderId="0" xfId="0" applyFont="1" applyFill="1" applyBorder="1" applyAlignment="1">
      <alignment horizontal="center" vertical="center"/>
    </xf>
    <xf numFmtId="165" fontId="3" fillId="4" borderId="5" xfId="0" applyFont="1" applyFill="1" applyBorder="1" applyAlignment="1">
      <alignment vertical="center"/>
    </xf>
    <xf numFmtId="165" fontId="0" fillId="8" borderId="0" xfId="0" applyFont="1" applyFill="1" applyBorder="1" applyAlignment="1"/>
    <xf numFmtId="165" fontId="9" fillId="4" borderId="0" xfId="0" applyFont="1" applyFill="1" applyBorder="1" applyAlignment="1">
      <alignment horizontal="left" vertical="center"/>
    </xf>
    <xf numFmtId="165" fontId="23" fillId="4" borderId="0" xfId="0" applyFont="1" applyFill="1" applyBorder="1" applyAlignment="1">
      <alignment vertical="top"/>
    </xf>
    <xf numFmtId="165" fontId="23" fillId="4" borderId="0" xfId="0" applyFont="1" applyFill="1" applyBorder="1" applyAlignment="1">
      <alignment vertical="center"/>
    </xf>
    <xf numFmtId="165" fontId="26" fillId="4" borderId="0" xfId="0" applyFont="1" applyFill="1" applyBorder="1" applyAlignment="1">
      <alignment vertical="center"/>
    </xf>
    <xf numFmtId="165" fontId="0" fillId="4" borderId="5" xfId="0" applyFill="1" applyBorder="1" applyAlignment="1">
      <alignment vertical="center"/>
    </xf>
    <xf numFmtId="165" fontId="10" fillId="4" borderId="0" xfId="0" applyFont="1" applyFill="1" applyBorder="1" applyAlignment="1">
      <alignment horizontal="left" vertical="center"/>
    </xf>
    <xf numFmtId="165" fontId="3" fillId="4" borderId="3" xfId="0" applyFont="1" applyFill="1" applyBorder="1" applyAlignment="1">
      <alignment vertical="center"/>
    </xf>
    <xf numFmtId="165" fontId="28" fillId="4" borderId="0" xfId="0" applyFont="1" applyFill="1" applyBorder="1" applyAlignment="1">
      <alignment vertical="center"/>
    </xf>
    <xf numFmtId="3" fontId="30" fillId="5" borderId="0" xfId="0" applyNumberFormat="1" applyFont="1" applyFill="1" applyBorder="1" applyAlignment="1">
      <alignment horizontal="right" vertical="center"/>
    </xf>
    <xf numFmtId="165" fontId="31" fillId="5" borderId="0" xfId="0" applyFont="1" applyFill="1" applyBorder="1" applyAlignment="1">
      <alignment horizontal="left" vertical="center"/>
    </xf>
    <xf numFmtId="165" fontId="31" fillId="5" borderId="0" xfId="0" applyFont="1" applyFill="1" applyBorder="1" applyAlignment="1">
      <alignment horizontal="center" vertical="center"/>
    </xf>
    <xf numFmtId="165" fontId="33" fillId="5" borderId="0" xfId="0" applyFont="1" applyFill="1" applyBorder="1" applyAlignment="1">
      <alignment horizontal="center" vertical="center"/>
    </xf>
    <xf numFmtId="165" fontId="33" fillId="5" borderId="0" xfId="0" applyFont="1" applyFill="1" applyBorder="1" applyAlignment="1">
      <alignment horizontal="left" vertical="center"/>
    </xf>
    <xf numFmtId="165" fontId="0" fillId="4" borderId="7" xfId="0" applyFill="1" applyBorder="1" applyAlignment="1"/>
    <xf numFmtId="165" fontId="14" fillId="5" borderId="0" xfId="0" applyFont="1" applyFill="1" applyBorder="1" applyAlignment="1">
      <alignment horizontal="center"/>
    </xf>
    <xf numFmtId="165" fontId="14" fillId="5" borderId="0" xfId="0" applyFont="1" applyFill="1" applyBorder="1"/>
    <xf numFmtId="2" fontId="14" fillId="5" borderId="0" xfId="0" applyNumberFormat="1" applyFont="1" applyFill="1" applyBorder="1"/>
    <xf numFmtId="2" fontId="15" fillId="5" borderId="0" xfId="0" applyNumberFormat="1" applyFont="1" applyFill="1" applyBorder="1"/>
    <xf numFmtId="1" fontId="14" fillId="5" borderId="0" xfId="0" applyNumberFormat="1" applyFont="1" applyFill="1" applyBorder="1"/>
    <xf numFmtId="165" fontId="0" fillId="5" borderId="10" xfId="0" applyFill="1" applyBorder="1"/>
    <xf numFmtId="165" fontId="14" fillId="5" borderId="13" xfId="0" applyFont="1" applyFill="1" applyBorder="1"/>
    <xf numFmtId="165" fontId="3" fillId="4" borderId="0" xfId="0" applyFont="1" applyFill="1" applyBorder="1" applyAlignment="1">
      <alignment horizontal="center" vertical="top"/>
    </xf>
    <xf numFmtId="165" fontId="42" fillId="0" borderId="0" xfId="0" applyFont="1" applyAlignment="1">
      <alignment horizontal="left" vertical="center" indent="13" readingOrder="1"/>
    </xf>
    <xf numFmtId="164" fontId="11" fillId="5" borderId="0" xfId="0" applyNumberFormat="1" applyFont="1" applyFill="1" applyBorder="1" applyAlignment="1">
      <alignment wrapText="1"/>
    </xf>
    <xf numFmtId="165" fontId="14" fillId="9" borderId="0" xfId="0" applyFont="1" applyFill="1" applyBorder="1" applyAlignment="1">
      <alignment horizontal="center"/>
    </xf>
    <xf numFmtId="165" fontId="0" fillId="9" borderId="28" xfId="0" applyFont="1" applyFill="1" applyBorder="1"/>
    <xf numFmtId="165" fontId="0" fillId="9" borderId="36" xfId="0" applyFont="1" applyFill="1" applyBorder="1"/>
    <xf numFmtId="165" fontId="14" fillId="9" borderId="37" xfId="0" applyFont="1" applyFill="1" applyBorder="1"/>
    <xf numFmtId="165" fontId="14" fillId="9" borderId="38" xfId="0" applyFont="1" applyFill="1" applyBorder="1" applyAlignment="1">
      <alignment horizontal="center"/>
    </xf>
    <xf numFmtId="165" fontId="46" fillId="9" borderId="40" xfId="0" applyFont="1" applyFill="1" applyBorder="1"/>
    <xf numFmtId="165" fontId="16" fillId="5" borderId="0" xfId="0" applyFont="1" applyFill="1" applyBorder="1" applyAlignment="1">
      <alignment horizontal="left"/>
    </xf>
    <xf numFmtId="165" fontId="12" fillId="5" borderId="0" xfId="0" applyFont="1" applyFill="1" applyBorder="1" applyAlignment="1">
      <alignment horizontal="right"/>
    </xf>
    <xf numFmtId="165" fontId="1" fillId="5" borderId="0" xfId="0" applyFont="1" applyFill="1" applyBorder="1" applyAlignment="1">
      <alignment horizontal="center" wrapText="1"/>
    </xf>
    <xf numFmtId="165" fontId="13" fillId="5" borderId="0" xfId="0" applyFont="1" applyFill="1" applyBorder="1" applyAlignment="1">
      <alignment horizontal="center" vertical="center" wrapText="1"/>
    </xf>
    <xf numFmtId="165" fontId="0" fillId="5" borderId="0" xfId="0" applyFill="1" applyBorder="1" applyAlignment="1">
      <alignment horizontal="center" textRotation="90" wrapText="1"/>
    </xf>
    <xf numFmtId="165" fontId="0" fillId="5" borderId="0" xfId="0" applyFill="1" applyBorder="1" applyAlignment="1"/>
    <xf numFmtId="165" fontId="13" fillId="10" borderId="45" xfId="0" applyFont="1" applyFill="1" applyBorder="1" applyAlignment="1">
      <alignment horizontal="center" vertical="center" wrapText="1"/>
    </xf>
    <xf numFmtId="1" fontId="40" fillId="11" borderId="10" xfId="0" applyNumberFormat="1" applyFont="1" applyFill="1" applyBorder="1" applyAlignment="1">
      <alignment horizontal="center"/>
    </xf>
    <xf numFmtId="1" fontId="4" fillId="11" borderId="10" xfId="0" applyNumberFormat="1" applyFont="1" applyFill="1" applyBorder="1" applyAlignment="1">
      <alignment horizontal="center" vertical="center" wrapText="1"/>
    </xf>
    <xf numFmtId="165" fontId="1" fillId="7" borderId="14" xfId="0" applyFont="1" applyFill="1" applyBorder="1" applyAlignment="1">
      <alignment horizontal="center" vertical="center" wrapText="1"/>
    </xf>
    <xf numFmtId="165" fontId="1" fillId="7" borderId="15" xfId="0" applyFont="1" applyFill="1" applyBorder="1" applyAlignment="1">
      <alignment horizontal="center" vertical="center" wrapText="1"/>
    </xf>
    <xf numFmtId="165" fontId="1" fillId="10" borderId="15" xfId="0" applyFont="1" applyFill="1" applyBorder="1" applyAlignment="1">
      <alignment horizontal="center" vertical="center" wrapText="1"/>
    </xf>
    <xf numFmtId="165" fontId="12" fillId="7" borderId="24" xfId="0" applyFont="1" applyFill="1" applyBorder="1" applyAlignment="1">
      <alignment horizontal="center" vertical="center"/>
    </xf>
    <xf numFmtId="165" fontId="42" fillId="0" borderId="0" xfId="0" applyFont="1" applyAlignment="1">
      <alignment horizontal="left" vertical="center" indent="7" readingOrder="1"/>
    </xf>
    <xf numFmtId="165" fontId="42" fillId="0" borderId="0" xfId="0" applyFont="1" applyAlignment="1">
      <alignment horizontal="left" vertical="center" readingOrder="1"/>
    </xf>
    <xf numFmtId="165" fontId="44" fillId="0" borderId="0" xfId="0" applyFont="1" applyAlignment="1">
      <alignment horizontal="left" vertical="center" indent="5" readingOrder="1"/>
    </xf>
    <xf numFmtId="165" fontId="43" fillId="0" borderId="0" xfId="0" applyFont="1" applyAlignment="1">
      <alignment horizontal="left" vertical="center" indent="2" readingOrder="1"/>
    </xf>
    <xf numFmtId="165" fontId="0" fillId="5" borderId="0" xfId="0" applyFont="1" applyFill="1" applyBorder="1"/>
    <xf numFmtId="11" fontId="41" fillId="9" borderId="29" xfId="0" applyNumberFormat="1" applyFont="1" applyFill="1" applyBorder="1"/>
    <xf numFmtId="11" fontId="41" fillId="9" borderId="31" xfId="0" applyNumberFormat="1" applyFont="1" applyFill="1" applyBorder="1"/>
    <xf numFmtId="165" fontId="0" fillId="9" borderId="33" xfId="0" applyFont="1" applyFill="1" applyBorder="1"/>
    <xf numFmtId="165" fontId="0" fillId="0" borderId="28" xfId="0" applyBorder="1" applyAlignment="1">
      <alignment horizontal="right"/>
    </xf>
    <xf numFmtId="165" fontId="0" fillId="0" borderId="36" xfId="0" applyBorder="1" applyAlignment="1">
      <alignment horizontal="right"/>
    </xf>
    <xf numFmtId="165" fontId="0" fillId="0" borderId="31" xfId="0" applyBorder="1"/>
    <xf numFmtId="165" fontId="7" fillId="5" borderId="28" xfId="0" applyFont="1" applyFill="1" applyBorder="1" applyAlignment="1">
      <alignment horizontal="left" vertical="center" wrapText="1" readingOrder="1"/>
    </xf>
    <xf numFmtId="165" fontId="7" fillId="5" borderId="36" xfId="0" applyFont="1" applyFill="1" applyBorder="1" applyAlignment="1">
      <alignment horizontal="left" vertical="center" wrapText="1" readingOrder="1"/>
    </xf>
    <xf numFmtId="1" fontId="48" fillId="9" borderId="41" xfId="0" applyNumberFormat="1" applyFont="1" applyFill="1" applyBorder="1"/>
    <xf numFmtId="2" fontId="14" fillId="9" borderId="39" xfId="0" applyNumberFormat="1" applyFont="1" applyFill="1" applyBorder="1" applyAlignment="1">
      <alignment horizontal="center"/>
    </xf>
    <xf numFmtId="165" fontId="3" fillId="4" borderId="0" xfId="0" applyFont="1" applyFill="1" applyBorder="1" applyAlignment="1">
      <alignment horizontal="center" vertical="center"/>
    </xf>
    <xf numFmtId="165" fontId="0" fillId="4" borderId="0" xfId="0" quotePrefix="1" applyFill="1" applyBorder="1"/>
    <xf numFmtId="165" fontId="0" fillId="4" borderId="0" xfId="0" applyFill="1" applyBorder="1"/>
    <xf numFmtId="165" fontId="2" fillId="4" borderId="0" xfId="0" applyFont="1" applyFill="1" applyBorder="1"/>
    <xf numFmtId="165" fontId="3" fillId="4" borderId="0" xfId="0" applyFont="1" applyFill="1" applyBorder="1" applyAlignment="1"/>
    <xf numFmtId="165" fontId="0" fillId="4" borderId="2" xfId="0" quotePrefix="1" applyFill="1" applyBorder="1"/>
    <xf numFmtId="165" fontId="3" fillId="4" borderId="7" xfId="0" applyFont="1" applyFill="1" applyBorder="1" applyAlignment="1">
      <alignment vertical="center"/>
    </xf>
    <xf numFmtId="165" fontId="3" fillId="4" borderId="7" xfId="0" applyFont="1" applyFill="1" applyBorder="1" applyAlignment="1">
      <alignment horizontal="center" vertical="top"/>
    </xf>
    <xf numFmtId="165" fontId="3" fillId="4" borderId="7" xfId="0" applyFont="1" applyFill="1" applyBorder="1" applyAlignment="1">
      <alignment vertical="top"/>
    </xf>
    <xf numFmtId="165" fontId="4" fillId="4" borderId="0" xfId="0" applyFont="1" applyFill="1" applyAlignment="1"/>
    <xf numFmtId="165" fontId="2" fillId="5" borderId="0" xfId="0" applyFont="1" applyFill="1"/>
    <xf numFmtId="165" fontId="40" fillId="4" borderId="0" xfId="0" applyFont="1" applyFill="1" applyBorder="1"/>
    <xf numFmtId="165" fontId="54" fillId="10" borderId="13" xfId="0" applyFont="1" applyFill="1" applyBorder="1" applyAlignment="1">
      <alignment horizontal="center" vertical="center" wrapText="1"/>
    </xf>
    <xf numFmtId="165" fontId="1" fillId="10" borderId="45" xfId="0" applyFont="1" applyFill="1" applyBorder="1" applyAlignment="1">
      <alignment horizontal="center" vertical="center" wrapText="1"/>
    </xf>
    <xf numFmtId="165" fontId="1" fillId="5" borderId="0" xfId="0" applyFont="1" applyFill="1" applyBorder="1" applyAlignment="1">
      <alignment horizontal="center"/>
    </xf>
    <xf numFmtId="165" fontId="54" fillId="5" borderId="0" xfId="0" applyFont="1" applyFill="1" applyBorder="1" applyAlignment="1">
      <alignment horizontal="center" vertical="center" wrapText="1"/>
    </xf>
    <xf numFmtId="167" fontId="0" fillId="5" borderId="0" xfId="0" applyNumberFormat="1" applyFill="1" applyBorder="1"/>
    <xf numFmtId="166" fontId="11" fillId="5" borderId="0" xfId="0" applyNumberFormat="1" applyFont="1" applyFill="1" applyBorder="1"/>
    <xf numFmtId="165" fontId="0" fillId="4" borderId="0" xfId="0" applyFill="1" applyBorder="1"/>
    <xf numFmtId="165" fontId="3" fillId="4" borderId="0" xfId="0" applyFont="1" applyFill="1" applyBorder="1" applyAlignment="1">
      <alignment horizontal="center" vertical="center"/>
    </xf>
    <xf numFmtId="165" fontId="14" fillId="9" borderId="0" xfId="0" applyFont="1" applyFill="1" applyBorder="1" applyAlignment="1">
      <alignment horizontal="right"/>
    </xf>
    <xf numFmtId="1" fontId="4" fillId="11" borderId="10" xfId="0" applyNumberFormat="1" applyFont="1" applyFill="1" applyBorder="1" applyAlignment="1">
      <alignment horizontal="center" vertical="center"/>
    </xf>
    <xf numFmtId="165" fontId="0" fillId="0" borderId="0" xfId="0" applyAlignment="1">
      <alignment horizontal="center"/>
    </xf>
    <xf numFmtId="1" fontId="40" fillId="5" borderId="0" xfId="0" applyNumberFormat="1" applyFont="1" applyFill="1" applyBorder="1" applyAlignment="1">
      <alignment horizontal="center"/>
    </xf>
    <xf numFmtId="2" fontId="14" fillId="10" borderId="0" xfId="0" applyNumberFormat="1" applyFont="1" applyFill="1" applyBorder="1"/>
    <xf numFmtId="2" fontId="14" fillId="10" borderId="13" xfId="0" applyNumberFormat="1" applyFont="1" applyFill="1" applyBorder="1"/>
    <xf numFmtId="2" fontId="15" fillId="10" borderId="13" xfId="0" applyNumberFormat="1" applyFont="1" applyFill="1" applyBorder="1"/>
    <xf numFmtId="1" fontId="14" fillId="10" borderId="11" xfId="0" applyNumberFormat="1" applyFont="1" applyFill="1" applyBorder="1"/>
    <xf numFmtId="1" fontId="40" fillId="11" borderId="13" xfId="0" applyNumberFormat="1" applyFont="1" applyFill="1" applyBorder="1" applyAlignment="1">
      <alignment horizontal="center"/>
    </xf>
    <xf numFmtId="1" fontId="0" fillId="5" borderId="0" xfId="0" applyNumberFormat="1" applyFill="1" applyBorder="1"/>
    <xf numFmtId="2" fontId="14" fillId="5" borderId="0" xfId="0" applyNumberFormat="1" applyFont="1" applyFill="1" applyBorder="1" applyAlignment="1">
      <alignment horizontal="center"/>
    </xf>
    <xf numFmtId="165" fontId="14" fillId="9" borderId="0" xfId="0" applyFont="1" applyFill="1" applyBorder="1" applyAlignment="1"/>
    <xf numFmtId="165" fontId="14" fillId="9" borderId="0" xfId="0" applyFont="1" applyFill="1" applyBorder="1"/>
    <xf numFmtId="2" fontId="14" fillId="9" borderId="0" xfId="0" applyNumberFormat="1" applyFont="1" applyFill="1" applyBorder="1"/>
    <xf numFmtId="2" fontId="15" fillId="9" borderId="0" xfId="0" applyNumberFormat="1" applyFont="1" applyFill="1" applyBorder="1"/>
    <xf numFmtId="1" fontId="14" fillId="9" borderId="0" xfId="0" applyNumberFormat="1" applyFont="1" applyFill="1" applyBorder="1"/>
    <xf numFmtId="1" fontId="0" fillId="9" borderId="0" xfId="0" applyNumberFormat="1" applyFill="1" applyAlignment="1">
      <alignment horizontal="center"/>
    </xf>
    <xf numFmtId="1" fontId="0" fillId="9" borderId="0" xfId="0" applyNumberFormat="1" applyFill="1"/>
    <xf numFmtId="165" fontId="0" fillId="9" borderId="0" xfId="0" applyFill="1" applyAlignment="1">
      <alignment horizontal="center"/>
    </xf>
    <xf numFmtId="165" fontId="0" fillId="9" borderId="0" xfId="0" applyFill="1"/>
    <xf numFmtId="166" fontId="0" fillId="9" borderId="0" xfId="0" applyNumberFormat="1" applyFill="1"/>
    <xf numFmtId="165" fontId="14" fillId="10" borderId="33" xfId="0" applyFont="1" applyFill="1" applyBorder="1"/>
    <xf numFmtId="2" fontId="37" fillId="10" borderId="34" xfId="0" applyNumberFormat="1" applyFont="1" applyFill="1" applyBorder="1"/>
    <xf numFmtId="2" fontId="15" fillId="10" borderId="35" xfId="0" applyNumberFormat="1" applyFont="1" applyFill="1" applyBorder="1"/>
    <xf numFmtId="165" fontId="14" fillId="10" borderId="0" xfId="0" applyFont="1" applyFill="1" applyBorder="1"/>
    <xf numFmtId="2" fontId="14" fillId="5" borderId="30" xfId="0" applyNumberFormat="1" applyFont="1" applyFill="1" applyBorder="1"/>
    <xf numFmtId="2" fontId="14" fillId="10" borderId="35" xfId="0" applyNumberFormat="1" applyFont="1" applyFill="1" applyBorder="1"/>
    <xf numFmtId="165" fontId="13" fillId="10" borderId="10" xfId="0" applyFont="1" applyFill="1" applyBorder="1" applyAlignment="1">
      <alignment horizontal="center" vertical="center" wrapText="1"/>
    </xf>
    <xf numFmtId="165" fontId="0" fillId="9" borderId="0" xfId="0" applyFont="1" applyFill="1" applyBorder="1"/>
    <xf numFmtId="11" fontId="41" fillId="9" borderId="0" xfId="0" applyNumberFormat="1" applyFont="1" applyFill="1" applyBorder="1"/>
    <xf numFmtId="1" fontId="0" fillId="9" borderId="0" xfId="0" applyNumberFormat="1" applyFill="1" applyAlignment="1">
      <alignment horizontal="center"/>
    </xf>
    <xf numFmtId="1" fontId="14" fillId="10" borderId="35" xfId="0" applyNumberFormat="1" applyFont="1" applyFill="1" applyBorder="1"/>
    <xf numFmtId="165" fontId="0" fillId="9" borderId="0" xfId="0" applyFill="1" applyBorder="1"/>
    <xf numFmtId="1" fontId="0" fillId="9" borderId="0" xfId="0" applyNumberFormat="1" applyFill="1" applyBorder="1"/>
    <xf numFmtId="165" fontId="0" fillId="9" borderId="0" xfId="0" applyFill="1" applyBorder="1" applyAlignment="1">
      <alignment horizontal="right"/>
    </xf>
    <xf numFmtId="1" fontId="41" fillId="5" borderId="34" xfId="0" applyNumberFormat="1" applyFont="1" applyFill="1" applyBorder="1"/>
    <xf numFmtId="165" fontId="0" fillId="9" borderId="0" xfId="0" applyFont="1" applyFill="1" applyBorder="1" applyAlignment="1">
      <alignment horizontal="left"/>
    </xf>
    <xf numFmtId="165" fontId="41" fillId="5" borderId="0" xfId="0" applyFont="1" applyFill="1" applyBorder="1"/>
    <xf numFmtId="165" fontId="0" fillId="0" borderId="0" xfId="0" applyAlignment="1">
      <alignment horizontal="center" textRotation="90"/>
    </xf>
    <xf numFmtId="167" fontId="0" fillId="10" borderId="51" xfId="0" applyNumberFormat="1" applyFill="1" applyBorder="1"/>
    <xf numFmtId="2" fontId="15" fillId="10" borderId="11" xfId="0" applyNumberFormat="1" applyFont="1" applyFill="1" applyBorder="1"/>
    <xf numFmtId="165" fontId="14" fillId="5" borderId="0" xfId="0" applyFont="1" applyFill="1" applyBorder="1" applyAlignment="1"/>
    <xf numFmtId="165" fontId="14" fillId="5" borderId="0" xfId="0" applyFont="1" applyFill="1" applyBorder="1" applyAlignment="1">
      <alignment horizontal="right"/>
    </xf>
    <xf numFmtId="165" fontId="0" fillId="5" borderId="33" xfId="0" applyFont="1" applyFill="1" applyBorder="1"/>
    <xf numFmtId="165" fontId="0" fillId="5" borderId="28" xfId="0" applyFont="1" applyFill="1" applyBorder="1"/>
    <xf numFmtId="11" fontId="41" fillId="5" borderId="29" xfId="0" applyNumberFormat="1" applyFont="1" applyFill="1" applyBorder="1"/>
    <xf numFmtId="165" fontId="0" fillId="5" borderId="36" xfId="0" applyFont="1" applyFill="1" applyBorder="1"/>
    <xf numFmtId="11" fontId="41" fillId="5" borderId="31" xfId="0" applyNumberFormat="1" applyFont="1" applyFill="1" applyBorder="1"/>
    <xf numFmtId="11" fontId="41" fillId="5" borderId="0" xfId="0" applyNumberFormat="1" applyFont="1" applyFill="1" applyBorder="1"/>
    <xf numFmtId="165" fontId="14" fillId="5" borderId="33" xfId="0" applyFont="1" applyFill="1" applyBorder="1" applyAlignment="1">
      <alignment horizontal="center"/>
    </xf>
    <xf numFmtId="165" fontId="0" fillId="5" borderId="34" xfId="0" applyFill="1" applyBorder="1"/>
    <xf numFmtId="165" fontId="0" fillId="5" borderId="0" xfId="0" applyFont="1" applyFill="1" applyBorder="1" applyAlignment="1">
      <alignment horizontal="left"/>
    </xf>
    <xf numFmtId="167" fontId="14" fillId="10" borderId="13" xfId="0" applyNumberFormat="1" applyFont="1" applyFill="1" applyBorder="1" applyAlignment="1">
      <alignment horizontal="center"/>
    </xf>
    <xf numFmtId="166" fontId="40" fillId="11" borderId="10" xfId="0" applyNumberFormat="1" applyFont="1" applyFill="1" applyBorder="1" applyAlignment="1">
      <alignment horizontal="center"/>
    </xf>
    <xf numFmtId="166" fontId="40" fillId="11" borderId="13" xfId="0" applyNumberFormat="1" applyFont="1" applyFill="1" applyBorder="1" applyAlignment="1">
      <alignment horizontal="center"/>
    </xf>
    <xf numFmtId="165" fontId="11" fillId="0" borderId="25" xfId="0" applyFont="1" applyBorder="1"/>
    <xf numFmtId="165" fontId="0" fillId="0" borderId="25" xfId="0" applyBorder="1" applyAlignment="1">
      <alignment horizontal="right"/>
    </xf>
    <xf numFmtId="165" fontId="14" fillId="13" borderId="0" xfId="0" applyFont="1" applyFill="1" applyBorder="1" applyAlignment="1">
      <alignment horizontal="center"/>
    </xf>
    <xf numFmtId="165" fontId="46" fillId="5" borderId="0" xfId="0" applyFont="1" applyFill="1" applyBorder="1"/>
    <xf numFmtId="165" fontId="48" fillId="5" borderId="0" xfId="0" applyFont="1" applyFill="1" applyBorder="1" applyAlignment="1">
      <alignment horizontal="center"/>
    </xf>
    <xf numFmtId="1" fontId="48" fillId="5" borderId="0" xfId="0" applyNumberFormat="1" applyFont="1" applyFill="1" applyBorder="1"/>
    <xf numFmtId="165" fontId="1" fillId="5" borderId="0" xfId="0" applyFont="1" applyFill="1" applyBorder="1" applyAlignment="1">
      <alignment horizontal="center" vertical="center" wrapText="1"/>
    </xf>
    <xf numFmtId="167" fontId="14" fillId="5" borderId="0" xfId="0" applyNumberFormat="1" applyFont="1" applyFill="1" applyBorder="1" applyAlignment="1">
      <alignment horizontal="center"/>
    </xf>
    <xf numFmtId="2" fontId="37" fillId="5" borderId="0" xfId="0" applyNumberFormat="1" applyFont="1" applyFill="1" applyBorder="1"/>
    <xf numFmtId="1" fontId="40" fillId="11" borderId="23" xfId="0" applyNumberFormat="1" applyFont="1" applyFill="1" applyBorder="1" applyAlignment="1">
      <alignment horizontal="center"/>
    </xf>
    <xf numFmtId="165" fontId="14" fillId="5" borderId="15" xfId="0" applyFont="1" applyFill="1" applyBorder="1"/>
    <xf numFmtId="1" fontId="4" fillId="11" borderId="12" xfId="0" applyNumberFormat="1" applyFont="1" applyFill="1" applyBorder="1" applyAlignment="1">
      <alignment horizontal="center" vertical="center"/>
    </xf>
    <xf numFmtId="1" fontId="4" fillId="11" borderId="24" xfId="0" applyNumberFormat="1" applyFont="1" applyFill="1" applyBorder="1" applyAlignment="1">
      <alignment horizontal="center" vertical="center"/>
    </xf>
    <xf numFmtId="165" fontId="1" fillId="7" borderId="10" xfId="0" applyFont="1" applyFill="1" applyBorder="1" applyAlignment="1">
      <alignment horizontal="center" vertical="center" wrapText="1"/>
    </xf>
    <xf numFmtId="165" fontId="12" fillId="7" borderId="10" xfId="0" applyFont="1" applyFill="1" applyBorder="1" applyAlignment="1">
      <alignment horizontal="center" vertical="center"/>
    </xf>
    <xf numFmtId="165" fontId="1" fillId="10" borderId="10" xfId="0" applyFont="1" applyFill="1" applyBorder="1" applyAlignment="1">
      <alignment horizontal="center" vertical="center" wrapText="1"/>
    </xf>
    <xf numFmtId="165" fontId="14" fillId="7" borderId="10" xfId="0" applyFont="1" applyFill="1" applyBorder="1" applyAlignment="1">
      <alignment horizontal="center"/>
    </xf>
    <xf numFmtId="2" fontId="14" fillId="10" borderId="10" xfId="0" applyNumberFormat="1" applyFont="1" applyFill="1" applyBorder="1"/>
    <xf numFmtId="2" fontId="15" fillId="10" borderId="10" xfId="0" applyNumberFormat="1" applyFont="1" applyFill="1" applyBorder="1"/>
    <xf numFmtId="1" fontId="14" fillId="10" borderId="10" xfId="0" applyNumberFormat="1" applyFont="1" applyFill="1" applyBorder="1"/>
    <xf numFmtId="1" fontId="16" fillId="2" borderId="10" xfId="0" applyNumberFormat="1" applyFont="1" applyFill="1" applyBorder="1" applyAlignment="1">
      <alignment horizontal="center"/>
    </xf>
    <xf numFmtId="165" fontId="11" fillId="14" borderId="10" xfId="0" applyFont="1" applyFill="1" applyBorder="1" applyAlignment="1">
      <alignment horizontal="center"/>
    </xf>
    <xf numFmtId="165" fontId="0" fillId="14" borderId="0" xfId="0" applyFill="1"/>
    <xf numFmtId="165" fontId="0" fillId="14" borderId="10" xfId="0" applyFill="1" applyBorder="1" applyAlignment="1">
      <alignment horizontal="center"/>
    </xf>
    <xf numFmtId="165" fontId="0" fillId="14" borderId="0" xfId="0" applyFill="1" applyBorder="1"/>
    <xf numFmtId="165" fontId="0" fillId="14" borderId="0" xfId="0" applyFill="1" applyBorder="1" applyAlignment="1">
      <alignment horizontal="center"/>
    </xf>
    <xf numFmtId="167" fontId="0" fillId="14" borderId="0" xfId="0" applyNumberFormat="1" applyFill="1" applyBorder="1" applyAlignment="1">
      <alignment horizontal="center"/>
    </xf>
    <xf numFmtId="165" fontId="11" fillId="14" borderId="0" xfId="0" applyFont="1" applyFill="1" applyBorder="1" applyAlignment="1">
      <alignment horizontal="center"/>
    </xf>
    <xf numFmtId="165" fontId="1" fillId="6" borderId="0" xfId="0" applyFont="1" applyFill="1" applyBorder="1" applyAlignment="1">
      <alignment horizontal="center"/>
    </xf>
    <xf numFmtId="1" fontId="4" fillId="5" borderId="0" xfId="0" applyNumberFormat="1" applyFont="1" applyFill="1" applyBorder="1" applyAlignment="1">
      <alignment horizontal="center" vertical="center"/>
    </xf>
    <xf numFmtId="2" fontId="0" fillId="14" borderId="0" xfId="0" applyNumberFormat="1" applyFill="1" applyBorder="1" applyAlignment="1">
      <alignment horizontal="center"/>
    </xf>
    <xf numFmtId="165" fontId="0" fillId="14" borderId="0" xfId="0" applyFill="1" applyBorder="1" applyAlignment="1">
      <alignment horizontal="center" wrapText="1"/>
    </xf>
    <xf numFmtId="167" fontId="11" fillId="5" borderId="0" xfId="0" applyNumberFormat="1" applyFont="1" applyFill="1" applyBorder="1"/>
    <xf numFmtId="2" fontId="15" fillId="14" borderId="0" xfId="0" applyNumberFormat="1" applyFont="1" applyFill="1" applyBorder="1"/>
    <xf numFmtId="2" fontId="11" fillId="14" borderId="0" xfId="0" applyNumberFormat="1" applyFont="1" applyFill="1" applyBorder="1"/>
    <xf numFmtId="2" fontId="11" fillId="14" borderId="0" xfId="0" applyNumberFormat="1" applyFont="1" applyFill="1" applyBorder="1" applyAlignment="1">
      <alignment horizontal="center"/>
    </xf>
    <xf numFmtId="1" fontId="11" fillId="14" borderId="0" xfId="0" applyNumberFormat="1" applyFont="1" applyFill="1" applyBorder="1" applyAlignment="1">
      <alignment horizontal="center"/>
    </xf>
    <xf numFmtId="165" fontId="11" fillId="14" borderId="33" xfId="0" applyFont="1" applyFill="1" applyBorder="1"/>
    <xf numFmtId="165" fontId="11" fillId="14" borderId="28" xfId="0" applyFont="1" applyFill="1" applyBorder="1"/>
    <xf numFmtId="11" fontId="11" fillId="14" borderId="29" xfId="0" applyNumberFormat="1" applyFont="1" applyFill="1" applyBorder="1"/>
    <xf numFmtId="165" fontId="11" fillId="14" borderId="36" xfId="0" applyFont="1" applyFill="1" applyBorder="1"/>
    <xf numFmtId="11" fontId="11" fillId="14" borderId="31" xfId="0" applyNumberFormat="1" applyFont="1" applyFill="1" applyBorder="1"/>
    <xf numFmtId="167" fontId="14" fillId="14" borderId="13" xfId="0" applyNumberFormat="1" applyFont="1" applyFill="1" applyBorder="1" applyAlignment="1">
      <alignment horizontal="center"/>
    </xf>
    <xf numFmtId="167" fontId="0" fillId="14" borderId="0" xfId="0" applyNumberFormat="1" applyFill="1"/>
    <xf numFmtId="3" fontId="41" fillId="5" borderId="48" xfId="0" applyNumberFormat="1" applyFont="1" applyFill="1" applyBorder="1" applyAlignment="1">
      <alignment horizontal="center"/>
    </xf>
    <xf numFmtId="168" fontId="41" fillId="5" borderId="48" xfId="0" applyNumberFormat="1" applyFont="1" applyFill="1" applyBorder="1" applyAlignment="1">
      <alignment horizontal="center"/>
    </xf>
    <xf numFmtId="168" fontId="41" fillId="5" borderId="35" xfId="0" applyNumberFormat="1" applyFont="1" applyFill="1" applyBorder="1" applyAlignment="1">
      <alignment horizontal="center"/>
    </xf>
    <xf numFmtId="2" fontId="15" fillId="10" borderId="30" xfId="0" applyNumberFormat="1" applyFont="1" applyFill="1" applyBorder="1"/>
    <xf numFmtId="3" fontId="14" fillId="7" borderId="32" xfId="0" applyNumberFormat="1" applyFont="1" applyFill="1" applyBorder="1" applyAlignment="1">
      <alignment horizontal="center"/>
    </xf>
    <xf numFmtId="3" fontId="14" fillId="7" borderId="13" xfId="0" applyNumberFormat="1" applyFont="1" applyFill="1" applyBorder="1"/>
    <xf numFmtId="168" fontId="14" fillId="7" borderId="32" xfId="0" applyNumberFormat="1" applyFont="1" applyFill="1" applyBorder="1" applyAlignment="1">
      <alignment horizontal="center"/>
    </xf>
    <xf numFmtId="169" fontId="14" fillId="7" borderId="32" xfId="0" applyNumberFormat="1" applyFont="1" applyFill="1" applyBorder="1" applyAlignment="1">
      <alignment horizontal="center"/>
    </xf>
    <xf numFmtId="3" fontId="59" fillId="7" borderId="13" xfId="0" applyNumberFormat="1" applyFont="1" applyFill="1" applyBorder="1"/>
    <xf numFmtId="4" fontId="14" fillId="7" borderId="13" xfId="0" applyNumberFormat="1" applyFont="1" applyFill="1" applyBorder="1"/>
    <xf numFmtId="2" fontId="41" fillId="5" borderId="29" xfId="0" applyNumberFormat="1" applyFont="1" applyFill="1" applyBorder="1"/>
    <xf numFmtId="1" fontId="16" fillId="10" borderId="13" xfId="0" applyNumberFormat="1" applyFont="1" applyFill="1" applyBorder="1" applyAlignment="1">
      <alignment horizontal="center"/>
    </xf>
    <xf numFmtId="166" fontId="16" fillId="10" borderId="13" xfId="0" applyNumberFormat="1" applyFont="1" applyFill="1" applyBorder="1" applyAlignment="1">
      <alignment horizontal="center"/>
    </xf>
    <xf numFmtId="4" fontId="48" fillId="5" borderId="35" xfId="0" applyNumberFormat="1" applyFont="1" applyFill="1" applyBorder="1" applyAlignment="1">
      <alignment horizontal="center"/>
    </xf>
    <xf numFmtId="166" fontId="40" fillId="5" borderId="0" xfId="0" applyNumberFormat="1" applyFont="1" applyFill="1" applyBorder="1" applyAlignment="1">
      <alignment horizontal="center"/>
    </xf>
    <xf numFmtId="3" fontId="11" fillId="14" borderId="10" xfId="0" applyNumberFormat="1" applyFont="1" applyFill="1" applyBorder="1" applyAlignment="1">
      <alignment horizontal="center"/>
    </xf>
    <xf numFmtId="168" fontId="55" fillId="14" borderId="10" xfId="0" applyNumberFormat="1" applyFont="1" applyFill="1" applyBorder="1" applyAlignment="1">
      <alignment horizontal="center"/>
    </xf>
    <xf numFmtId="168" fontId="0" fillId="14" borderId="10" xfId="0" applyNumberFormat="1" applyFill="1" applyBorder="1" applyAlignment="1">
      <alignment horizontal="center"/>
    </xf>
    <xf numFmtId="3" fontId="48" fillId="9" borderId="10" xfId="0" applyNumberFormat="1" applyFont="1" applyFill="1" applyBorder="1" applyAlignment="1">
      <alignment horizontal="center"/>
    </xf>
    <xf numFmtId="3" fontId="14" fillId="5" borderId="0" xfId="0" applyNumberFormat="1" applyFont="1" applyFill="1" applyBorder="1" applyAlignment="1">
      <alignment horizontal="center"/>
    </xf>
    <xf numFmtId="3" fontId="14" fillId="5" borderId="14" xfId="0" applyNumberFormat="1" applyFont="1" applyFill="1" applyBorder="1" applyAlignment="1">
      <alignment horizontal="center"/>
    </xf>
    <xf numFmtId="3" fontId="59" fillId="5" borderId="15" xfId="0" applyNumberFormat="1" applyFont="1" applyFill="1" applyBorder="1"/>
    <xf numFmtId="3" fontId="14" fillId="5" borderId="15" xfId="0" applyNumberFormat="1" applyFont="1" applyFill="1" applyBorder="1"/>
    <xf numFmtId="4" fontId="14" fillId="5" borderId="0" xfId="0" applyNumberFormat="1" applyFont="1" applyFill="1" applyBorder="1"/>
    <xf numFmtId="3" fontId="14" fillId="5" borderId="0" xfId="0" applyNumberFormat="1" applyFont="1" applyFill="1" applyBorder="1"/>
    <xf numFmtId="1" fontId="16" fillId="5" borderId="0" xfId="0" applyNumberFormat="1" applyFont="1" applyFill="1" applyBorder="1" applyAlignment="1">
      <alignment horizontal="center"/>
    </xf>
    <xf numFmtId="3" fontId="0" fillId="0" borderId="27" xfId="0" applyNumberFormat="1" applyBorder="1"/>
    <xf numFmtId="3" fontId="0" fillId="0" borderId="29" xfId="0" applyNumberFormat="1" applyBorder="1"/>
    <xf numFmtId="4" fontId="0" fillId="0" borderId="27" xfId="0" applyNumberFormat="1" applyBorder="1" applyAlignment="1">
      <alignment horizontal="left"/>
    </xf>
    <xf numFmtId="4" fontId="0" fillId="0" borderId="29" xfId="0" applyNumberFormat="1" applyBorder="1" applyAlignment="1">
      <alignment horizontal="left"/>
    </xf>
    <xf numFmtId="4" fontId="7" fillId="5" borderId="31" xfId="0" applyNumberFormat="1" applyFont="1" applyFill="1" applyBorder="1" applyAlignment="1">
      <alignment horizontal="left" vertical="center" wrapText="1" readingOrder="1"/>
    </xf>
    <xf numFmtId="168" fontId="41" fillId="9" borderId="35" xfId="0" applyNumberFormat="1" applyFont="1" applyFill="1" applyBorder="1"/>
    <xf numFmtId="1" fontId="0" fillId="14" borderId="0" xfId="0" applyNumberFormat="1" applyFill="1"/>
    <xf numFmtId="166" fontId="0" fillId="14" borderId="0" xfId="0" applyNumberFormat="1" applyFill="1"/>
    <xf numFmtId="165" fontId="0" fillId="14" borderId="0" xfId="0" applyFill="1" applyAlignment="1">
      <alignment horizontal="center"/>
    </xf>
    <xf numFmtId="4" fontId="48" fillId="9" borderId="35" xfId="0" applyNumberFormat="1" applyFont="1" applyFill="1" applyBorder="1" applyAlignment="1">
      <alignment horizontal="center"/>
    </xf>
    <xf numFmtId="3" fontId="14" fillId="7" borderId="10" xfId="0" applyNumberFormat="1" applyFont="1" applyFill="1" applyBorder="1" applyAlignment="1">
      <alignment horizontal="center"/>
    </xf>
    <xf numFmtId="3" fontId="14" fillId="7" borderId="10" xfId="0" applyNumberFormat="1" applyFont="1" applyFill="1" applyBorder="1"/>
    <xf numFmtId="4" fontId="14" fillId="7" borderId="10" xfId="0" applyNumberFormat="1" applyFont="1" applyFill="1" applyBorder="1"/>
    <xf numFmtId="3" fontId="59" fillId="7" borderId="10" xfId="0" applyNumberFormat="1" applyFont="1" applyFill="1" applyBorder="1"/>
    <xf numFmtId="1" fontId="16" fillId="10" borderId="10" xfId="0" applyNumberFormat="1" applyFont="1" applyFill="1" applyBorder="1" applyAlignment="1">
      <alignment horizontal="center"/>
    </xf>
    <xf numFmtId="167" fontId="14" fillId="10" borderId="45" xfId="0" applyNumberFormat="1" applyFont="1" applyFill="1" applyBorder="1" applyAlignment="1">
      <alignment horizontal="center"/>
    </xf>
    <xf numFmtId="165" fontId="1" fillId="5" borderId="15" xfId="0" applyFont="1" applyFill="1" applyBorder="1" applyAlignment="1">
      <alignment horizontal="center" vertical="center" wrapText="1"/>
    </xf>
    <xf numFmtId="2" fontId="37" fillId="10" borderId="39" xfId="0" applyNumberFormat="1" applyFont="1" applyFill="1" applyBorder="1" applyAlignment="1">
      <alignment horizontal="center"/>
    </xf>
    <xf numFmtId="2" fontId="14" fillId="10" borderId="41" xfId="0" applyNumberFormat="1" applyFont="1" applyFill="1" applyBorder="1" applyAlignment="1">
      <alignment horizontal="center"/>
    </xf>
    <xf numFmtId="2" fontId="37" fillId="10" borderId="41" xfId="0" applyNumberFormat="1" applyFont="1" applyFill="1" applyBorder="1" applyAlignment="1">
      <alignment horizontal="center"/>
    </xf>
    <xf numFmtId="1" fontId="14" fillId="10" borderId="43" xfId="0" applyNumberFormat="1" applyFont="1" applyFill="1" applyBorder="1" applyAlignment="1">
      <alignment horizontal="center"/>
    </xf>
    <xf numFmtId="165" fontId="14" fillId="9" borderId="10" xfId="0" applyFont="1" applyFill="1" applyBorder="1" applyAlignment="1">
      <alignment horizontal="center"/>
    </xf>
    <xf numFmtId="165" fontId="0" fillId="9" borderId="10" xfId="0" applyFill="1" applyBorder="1"/>
    <xf numFmtId="1" fontId="41" fillId="9" borderId="10" xfId="0" applyNumberFormat="1" applyFont="1" applyFill="1" applyBorder="1"/>
    <xf numFmtId="168" fontId="41" fillId="9" borderId="10" xfId="0" applyNumberFormat="1" applyFont="1" applyFill="1" applyBorder="1" applyAlignment="1">
      <alignment horizontal="center"/>
    </xf>
    <xf numFmtId="3" fontId="41" fillId="9" borderId="10" xfId="0" applyNumberFormat="1" applyFont="1" applyFill="1" applyBorder="1" applyAlignment="1">
      <alignment horizontal="center"/>
    </xf>
    <xf numFmtId="11" fontId="41" fillId="9" borderId="35" xfId="0" applyNumberFormat="1" applyFont="1" applyFill="1" applyBorder="1"/>
    <xf numFmtId="165" fontId="14" fillId="9" borderId="30" xfId="0" applyFont="1" applyFill="1" applyBorder="1" applyAlignment="1">
      <alignment horizontal="right"/>
    </xf>
    <xf numFmtId="167" fontId="14" fillId="10" borderId="31" xfId="0" applyNumberFormat="1" applyFont="1" applyFill="1" applyBorder="1" applyAlignment="1">
      <alignment horizontal="center"/>
    </xf>
    <xf numFmtId="167" fontId="14" fillId="10" borderId="35" xfId="0" applyNumberFormat="1" applyFont="1" applyFill="1" applyBorder="1" applyAlignment="1">
      <alignment horizontal="center"/>
    </xf>
    <xf numFmtId="165" fontId="9" fillId="5" borderId="0" xfId="0" applyFont="1" applyFill="1" applyBorder="1" applyAlignment="1">
      <alignment vertical="top"/>
    </xf>
    <xf numFmtId="165" fontId="9" fillId="4" borderId="0" xfId="0" applyFont="1" applyFill="1" applyBorder="1" applyAlignment="1">
      <alignment vertical="top"/>
    </xf>
    <xf numFmtId="165" fontId="0" fillId="15" borderId="10" xfId="0" applyFill="1" applyBorder="1" applyAlignment="1">
      <alignment horizontal="center"/>
    </xf>
    <xf numFmtId="1" fontId="57" fillId="15" borderId="10" xfId="0" applyNumberFormat="1" applyFont="1" applyFill="1" applyBorder="1" applyAlignment="1">
      <alignment horizontal="center" vertical="top" wrapText="1"/>
    </xf>
    <xf numFmtId="167" fontId="56" fillId="15" borderId="10" xfId="0" applyNumberFormat="1" applyFont="1" applyFill="1" applyBorder="1" applyAlignment="1">
      <alignment horizontal="center" vertical="top" wrapText="1"/>
    </xf>
    <xf numFmtId="1" fontId="0" fillId="5" borderId="0" xfId="0" applyNumberFormat="1" applyFill="1"/>
    <xf numFmtId="165" fontId="1" fillId="7" borderId="14" xfId="0" applyFont="1" applyFill="1" applyBorder="1" applyAlignment="1">
      <alignment horizontal="center" vertical="center" wrapText="1"/>
    </xf>
    <xf numFmtId="3" fontId="14" fillId="7" borderId="32" xfId="0" applyNumberFormat="1" applyFont="1" applyFill="1" applyBorder="1" applyAlignment="1">
      <alignment horizontal="center"/>
    </xf>
    <xf numFmtId="165" fontId="0" fillId="4" borderId="0" xfId="0" applyFill="1" applyBorder="1"/>
    <xf numFmtId="165" fontId="3" fillId="4" borderId="0" xfId="0" applyFont="1" applyFill="1" applyBorder="1" applyAlignment="1">
      <alignment horizontal="center" vertical="center"/>
    </xf>
    <xf numFmtId="1" fontId="16" fillId="5" borderId="0" xfId="0" applyNumberFormat="1" applyFont="1" applyFill="1" applyBorder="1" applyAlignment="1">
      <alignment horizontal="center"/>
    </xf>
    <xf numFmtId="165" fontId="1" fillId="7" borderId="14" xfId="0" applyFont="1" applyFill="1" applyBorder="1" applyAlignment="1">
      <alignment horizontal="center" vertical="center" wrapText="1"/>
    </xf>
    <xf numFmtId="3" fontId="14" fillId="7" borderId="32" xfId="0" applyNumberFormat="1" applyFont="1" applyFill="1" applyBorder="1" applyAlignment="1">
      <alignment horizontal="center"/>
    </xf>
    <xf numFmtId="1" fontId="4" fillId="5" borderId="0" xfId="0" applyNumberFormat="1" applyFont="1" applyFill="1" applyBorder="1" applyAlignment="1">
      <alignment horizontal="center" vertical="center"/>
    </xf>
    <xf numFmtId="1" fontId="4" fillId="11" borderId="13" xfId="0" applyNumberFormat="1" applyFont="1" applyFill="1" applyBorder="1" applyAlignment="1">
      <alignment horizontal="center" vertical="center"/>
    </xf>
    <xf numFmtId="165" fontId="0" fillId="5" borderId="0" xfId="0" applyFill="1" applyAlignment="1">
      <alignment horizontal="center"/>
    </xf>
    <xf numFmtId="169" fontId="11" fillId="14" borderId="35" xfId="0" applyNumberFormat="1" applyFont="1" applyFill="1" applyBorder="1"/>
    <xf numFmtId="169" fontId="11" fillId="14" borderId="29" xfId="0" applyNumberFormat="1" applyFont="1" applyFill="1" applyBorder="1"/>
    <xf numFmtId="3" fontId="14" fillId="14" borderId="32" xfId="0" applyNumberFormat="1" applyFont="1" applyFill="1" applyBorder="1" applyAlignment="1">
      <alignment horizontal="center"/>
    </xf>
    <xf numFmtId="3" fontId="41" fillId="5" borderId="35" xfId="0" applyNumberFormat="1" applyFont="1" applyFill="1" applyBorder="1"/>
    <xf numFmtId="3" fontId="41" fillId="5" borderId="53" xfId="0" applyNumberFormat="1" applyFont="1" applyFill="1" applyBorder="1" applyAlignment="1">
      <alignment horizontal="center"/>
    </xf>
    <xf numFmtId="3" fontId="48" fillId="9" borderId="48" xfId="0" applyNumberFormat="1" applyFont="1" applyFill="1" applyBorder="1"/>
    <xf numFmtId="168" fontId="41" fillId="5" borderId="35" xfId="0" applyNumberFormat="1" applyFont="1" applyFill="1" applyBorder="1"/>
    <xf numFmtId="168" fontId="41" fillId="5" borderId="53" xfId="0" applyNumberFormat="1" applyFont="1" applyFill="1" applyBorder="1" applyAlignment="1">
      <alignment horizontal="center"/>
    </xf>
    <xf numFmtId="168" fontId="48" fillId="9" borderId="48" xfId="0" applyNumberFormat="1" applyFont="1" applyFill="1" applyBorder="1"/>
    <xf numFmtId="168" fontId="15" fillId="14" borderId="10" xfId="0" applyNumberFormat="1" applyFont="1" applyFill="1" applyBorder="1" applyAlignment="1">
      <alignment horizontal="center"/>
    </xf>
    <xf numFmtId="169" fontId="11" fillId="14" borderId="0" xfId="0" applyNumberFormat="1" applyFont="1" applyFill="1" applyBorder="1" applyAlignment="1">
      <alignment horizontal="center"/>
    </xf>
    <xf numFmtId="3" fontId="48" fillId="9" borderId="35" xfId="0" applyNumberFormat="1" applyFont="1" applyFill="1" applyBorder="1" applyAlignment="1">
      <alignment horizontal="center"/>
    </xf>
    <xf numFmtId="1" fontId="0" fillId="5" borderId="0" xfId="0" applyNumberFormat="1" applyFill="1" applyAlignment="1">
      <alignment horizontal="center"/>
    </xf>
    <xf numFmtId="11" fontId="41" fillId="5" borderId="35" xfId="0" applyNumberFormat="1" applyFont="1" applyFill="1" applyBorder="1"/>
    <xf numFmtId="169" fontId="48" fillId="14" borderId="48" xfId="0" applyNumberFormat="1" applyFont="1" applyFill="1" applyBorder="1"/>
    <xf numFmtId="166" fontId="0" fillId="5" borderId="0" xfId="0" applyNumberFormat="1" applyFill="1"/>
    <xf numFmtId="165" fontId="0" fillId="5" borderId="0" xfId="0" applyFill="1" applyBorder="1" applyAlignment="1">
      <alignment textRotation="90"/>
    </xf>
    <xf numFmtId="165" fontId="11" fillId="5" borderId="0" xfId="0" applyFont="1" applyFill="1" applyBorder="1" applyAlignment="1">
      <alignment horizontal="center"/>
    </xf>
    <xf numFmtId="3" fontId="11" fillId="5" borderId="0" xfId="0" applyNumberFormat="1" applyFont="1" applyFill="1" applyBorder="1" applyAlignment="1">
      <alignment horizontal="center"/>
    </xf>
    <xf numFmtId="3" fontId="55" fillId="5" borderId="0" xfId="0" applyNumberFormat="1" applyFont="1" applyFill="1" applyBorder="1" applyAlignment="1">
      <alignment horizontal="center"/>
    </xf>
    <xf numFmtId="3" fontId="0" fillId="5" borderId="0" xfId="0" applyNumberFormat="1" applyFill="1" applyBorder="1" applyAlignment="1">
      <alignment horizontal="center"/>
    </xf>
    <xf numFmtId="166" fontId="0" fillId="5" borderId="0" xfId="0" applyNumberFormat="1" applyFill="1" applyBorder="1"/>
    <xf numFmtId="165" fontId="41" fillId="5" borderId="58" xfId="0" applyFont="1" applyFill="1" applyBorder="1"/>
    <xf numFmtId="165" fontId="0" fillId="5" borderId="59" xfId="0" applyFont="1" applyFill="1" applyBorder="1"/>
    <xf numFmtId="3" fontId="0" fillId="4" borderId="0" xfId="0" applyNumberFormat="1" applyFill="1" applyBorder="1" applyAlignment="1">
      <alignment horizontal="right"/>
    </xf>
    <xf numFmtId="3" fontId="0" fillId="4" borderId="0" xfId="0" applyNumberFormat="1" applyFill="1" applyBorder="1"/>
    <xf numFmtId="165" fontId="0" fillId="4" borderId="0" xfId="0" applyFill="1" applyBorder="1"/>
    <xf numFmtId="165" fontId="3" fillId="4" borderId="0" xfId="0" applyFont="1" applyFill="1" applyBorder="1" applyAlignment="1">
      <alignment horizontal="center" vertical="center"/>
    </xf>
    <xf numFmtId="165" fontId="14" fillId="7" borderId="10" xfId="0" applyFont="1" applyFill="1" applyBorder="1" applyAlignment="1">
      <alignment horizontal="center"/>
    </xf>
    <xf numFmtId="165" fontId="0" fillId="5" borderId="0" xfId="0" applyFill="1" applyBorder="1" applyAlignment="1">
      <alignment horizontal="center" wrapText="1"/>
    </xf>
    <xf numFmtId="1" fontId="16" fillId="5" borderId="0" xfId="0" applyNumberFormat="1" applyFont="1" applyFill="1" applyBorder="1" applyAlignment="1">
      <alignment horizontal="center"/>
    </xf>
    <xf numFmtId="165" fontId="1" fillId="7" borderId="14" xfId="0" applyFont="1" applyFill="1" applyBorder="1" applyAlignment="1">
      <alignment horizontal="center" vertical="center" wrapText="1"/>
    </xf>
    <xf numFmtId="3" fontId="14" fillId="7" borderId="32" xfId="0" applyNumberFormat="1" applyFont="1" applyFill="1" applyBorder="1" applyAlignment="1">
      <alignment horizontal="center"/>
    </xf>
    <xf numFmtId="1" fontId="4" fillId="5" borderId="0" xfId="0" applyNumberFormat="1" applyFont="1" applyFill="1" applyBorder="1" applyAlignment="1">
      <alignment horizontal="center" vertical="center"/>
    </xf>
    <xf numFmtId="1" fontId="4" fillId="11" borderId="13" xfId="0" applyNumberFormat="1" applyFont="1" applyFill="1" applyBorder="1" applyAlignment="1">
      <alignment horizontal="center" vertical="center"/>
    </xf>
    <xf numFmtId="1" fontId="0" fillId="5" borderId="0" xfId="0" applyNumberFormat="1" applyFill="1" applyBorder="1" applyAlignment="1">
      <alignment horizontal="center"/>
    </xf>
    <xf numFmtId="1" fontId="0" fillId="5" borderId="0" xfId="0" applyNumberFormat="1" applyFill="1" applyAlignment="1">
      <alignment horizontal="center"/>
    </xf>
    <xf numFmtId="165" fontId="0" fillId="5" borderId="0" xfId="0" applyFill="1" applyAlignment="1">
      <alignment horizontal="center"/>
    </xf>
    <xf numFmtId="165" fontId="0" fillId="4" borderId="0" xfId="0" applyFill="1" applyBorder="1"/>
    <xf numFmtId="165" fontId="3" fillId="4" borderId="0" xfId="0" applyFont="1" applyFill="1" applyBorder="1" applyAlignment="1">
      <alignment horizontal="center" vertical="center"/>
    </xf>
    <xf numFmtId="165" fontId="1" fillId="7" borderId="14" xfId="0" applyFont="1" applyFill="1" applyBorder="1" applyAlignment="1">
      <alignment horizontal="center" vertical="center" wrapText="1"/>
    </xf>
    <xf numFmtId="3" fontId="14" fillId="7" borderId="32" xfId="0" applyNumberFormat="1" applyFont="1" applyFill="1" applyBorder="1" applyAlignment="1">
      <alignment horizontal="center"/>
    </xf>
    <xf numFmtId="1" fontId="4" fillId="5" borderId="0" xfId="0" applyNumberFormat="1" applyFont="1" applyFill="1" applyBorder="1" applyAlignment="1">
      <alignment horizontal="center" vertical="center"/>
    </xf>
    <xf numFmtId="165" fontId="0" fillId="5" borderId="0" xfId="0" applyFill="1" applyBorder="1" applyAlignment="1">
      <alignment horizontal="left"/>
    </xf>
    <xf numFmtId="165" fontId="62" fillId="4" borderId="0" xfId="0" applyFont="1" applyFill="1" applyBorder="1"/>
    <xf numFmtId="165" fontId="2" fillId="4" borderId="0" xfId="0" applyFont="1" applyFill="1" applyBorder="1" applyAlignment="1">
      <alignment horizontal="right"/>
    </xf>
    <xf numFmtId="165" fontId="2" fillId="4" borderId="0" xfId="0" applyFont="1" applyFill="1" applyBorder="1" applyAlignment="1">
      <alignment horizontal="center"/>
    </xf>
    <xf numFmtId="165" fontId="63" fillId="4" borderId="0" xfId="0" applyFont="1" applyFill="1" applyBorder="1"/>
    <xf numFmtId="165" fontId="55" fillId="5" borderId="0" xfId="0" applyFont="1" applyFill="1" applyBorder="1" applyAlignment="1">
      <alignment horizontal="center"/>
    </xf>
    <xf numFmtId="165" fontId="14" fillId="5" borderId="0" xfId="0" applyFont="1" applyFill="1" applyBorder="1" applyAlignment="1">
      <alignment horizontal="right"/>
    </xf>
    <xf numFmtId="165" fontId="58" fillId="0" borderId="0" xfId="1" applyBorder="1"/>
    <xf numFmtId="165" fontId="0" fillId="4" borderId="4" xfId="0" applyFill="1" applyBorder="1" applyAlignment="1"/>
    <xf numFmtId="165" fontId="51" fillId="4" borderId="0" xfId="0" applyFont="1" applyFill="1" applyBorder="1" applyAlignment="1">
      <alignment vertical="center" wrapText="1"/>
    </xf>
    <xf numFmtId="3" fontId="4" fillId="4" borderId="0" xfId="0" applyNumberFormat="1" applyFont="1" applyFill="1" applyBorder="1" applyAlignment="1"/>
    <xf numFmtId="165" fontId="0" fillId="8" borderId="0" xfId="0" applyFill="1" applyBorder="1" applyAlignment="1"/>
    <xf numFmtId="165" fontId="0" fillId="4" borderId="5" xfId="0" applyFill="1" applyBorder="1" applyAlignment="1"/>
    <xf numFmtId="165" fontId="0" fillId="4" borderId="1" xfId="0" applyFill="1" applyBorder="1" applyAlignment="1"/>
    <xf numFmtId="165" fontId="0" fillId="4" borderId="3" xfId="0" applyFill="1" applyBorder="1" applyAlignment="1"/>
    <xf numFmtId="165" fontId="0" fillId="4" borderId="6" xfId="0" applyFill="1" applyBorder="1" applyAlignment="1"/>
    <xf numFmtId="165" fontId="0" fillId="4" borderId="8" xfId="0" applyFill="1" applyBorder="1" applyAlignment="1"/>
    <xf numFmtId="165" fontId="52" fillId="4" borderId="0" xfId="0" applyFont="1" applyFill="1" applyBorder="1"/>
    <xf numFmtId="165" fontId="52" fillId="4" borderId="7" xfId="0" applyFont="1" applyFill="1" applyBorder="1"/>
    <xf numFmtId="165" fontId="52" fillId="4" borderId="4" xfId="0" applyFont="1" applyFill="1" applyBorder="1"/>
    <xf numFmtId="165" fontId="52" fillId="4" borderId="0" xfId="0" applyFont="1" applyFill="1" applyBorder="1" applyAlignment="1"/>
    <xf numFmtId="165" fontId="52" fillId="4" borderId="6" xfId="0" applyFont="1" applyFill="1" applyBorder="1"/>
    <xf numFmtId="165" fontId="52" fillId="4" borderId="7" xfId="0" applyFont="1" applyFill="1" applyBorder="1" applyAlignment="1"/>
    <xf numFmtId="165" fontId="51" fillId="4" borderId="7" xfId="0" applyFont="1" applyFill="1" applyBorder="1" applyAlignment="1">
      <alignment vertical="center"/>
    </xf>
    <xf numFmtId="165" fontId="0" fillId="5" borderId="0" xfId="0" applyFill="1" applyBorder="1" applyAlignment="1">
      <alignment horizontal="center"/>
    </xf>
    <xf numFmtId="165" fontId="65" fillId="8" borderId="0" xfId="0" applyFont="1" applyFill="1" applyBorder="1" applyAlignment="1">
      <alignment vertical="top"/>
    </xf>
    <xf numFmtId="165" fontId="65" fillId="4" borderId="0" xfId="0" applyFont="1" applyFill="1" applyBorder="1" applyAlignment="1">
      <alignment vertical="top"/>
    </xf>
    <xf numFmtId="165" fontId="0" fillId="5" borderId="0" xfId="0" applyFont="1" applyFill="1" applyBorder="1" applyAlignment="1"/>
    <xf numFmtId="165" fontId="64" fillId="5" borderId="0" xfId="0" applyFont="1" applyFill="1" applyBorder="1"/>
    <xf numFmtId="165" fontId="18" fillId="5" borderId="0" xfId="0" applyFont="1" applyFill="1" applyBorder="1"/>
    <xf numFmtId="165" fontId="0" fillId="4" borderId="0" xfId="0" applyFill="1" applyBorder="1"/>
    <xf numFmtId="165" fontId="0" fillId="4" borderId="0" xfId="0" applyFill="1" applyBorder="1"/>
    <xf numFmtId="165" fontId="2" fillId="5" borderId="0" xfId="0" applyFont="1" applyFill="1" applyBorder="1"/>
    <xf numFmtId="165" fontId="0" fillId="4" borderId="0" xfId="0" applyFill="1" applyBorder="1"/>
    <xf numFmtId="165" fontId="3" fillId="4" borderId="0" xfId="0" applyFont="1" applyFill="1" applyBorder="1" applyAlignment="1">
      <alignment horizontal="center" vertical="top"/>
    </xf>
    <xf numFmtId="165" fontId="3" fillId="4" borderId="0" xfId="0" applyFont="1" applyFill="1" applyBorder="1" applyAlignment="1">
      <alignment horizontal="center" vertical="center"/>
    </xf>
    <xf numFmtId="165" fontId="50" fillId="4" borderId="0" xfId="0" applyFont="1" applyFill="1" applyBorder="1" applyAlignment="1"/>
    <xf numFmtId="165" fontId="51" fillId="4" borderId="0" xfId="0" applyFont="1" applyFill="1" applyBorder="1" applyAlignment="1">
      <alignment vertical="top"/>
    </xf>
    <xf numFmtId="165" fontId="3" fillId="4" borderId="0" xfId="0" applyFont="1" applyFill="1" applyBorder="1" applyAlignment="1">
      <alignment vertical="top"/>
    </xf>
    <xf numFmtId="165" fontId="51" fillId="5" borderId="0" xfId="0" applyFont="1" applyFill="1" applyBorder="1" applyAlignment="1">
      <alignment vertical="center" wrapText="1"/>
    </xf>
    <xf numFmtId="165" fontId="67" fillId="4" borderId="0" xfId="0" applyFont="1" applyFill="1" applyBorder="1" applyAlignment="1">
      <alignment horizontal="center" vertical="center" wrapText="1"/>
    </xf>
    <xf numFmtId="165" fontId="49" fillId="5" borderId="0" xfId="0" applyFont="1" applyFill="1" applyAlignment="1">
      <alignment vertical="center"/>
    </xf>
    <xf numFmtId="165" fontId="11" fillId="5" borderId="0" xfId="0" applyFont="1" applyFill="1"/>
    <xf numFmtId="165" fontId="41" fillId="5" borderId="0" xfId="0" applyFont="1" applyFill="1" applyBorder="1" applyAlignment="1">
      <alignment vertical="center"/>
    </xf>
    <xf numFmtId="165" fontId="0" fillId="4" borderId="0" xfId="0" applyFill="1" applyBorder="1"/>
    <xf numFmtId="165" fontId="14" fillId="7" borderId="10" xfId="0" applyFont="1" applyFill="1" applyBorder="1" applyAlignment="1">
      <alignment horizontal="center"/>
    </xf>
    <xf numFmtId="165" fontId="37" fillId="13" borderId="0" xfId="0" applyFont="1" applyFill="1" applyBorder="1" applyAlignment="1">
      <alignment horizontal="center"/>
    </xf>
    <xf numFmtId="3" fontId="14" fillId="7" borderId="32" xfId="0" applyNumberFormat="1" applyFont="1" applyFill="1" applyBorder="1" applyAlignment="1">
      <alignment horizontal="center"/>
    </xf>
    <xf numFmtId="165" fontId="14" fillId="9" borderId="46" xfId="0" applyFont="1" applyFill="1" applyBorder="1" applyAlignment="1">
      <alignment horizontal="right"/>
    </xf>
    <xf numFmtId="165" fontId="14" fillId="9" borderId="47" xfId="0" applyFont="1" applyFill="1" applyBorder="1" applyAlignment="1">
      <alignment horizontal="right"/>
    </xf>
    <xf numFmtId="1" fontId="0" fillId="5" borderId="0" xfId="0" applyNumberFormat="1" applyFill="1" applyBorder="1" applyAlignment="1">
      <alignment horizontal="center"/>
    </xf>
    <xf numFmtId="165" fontId="14" fillId="5" borderId="0" xfId="0" applyFont="1" applyFill="1" applyBorder="1" applyAlignment="1">
      <alignment horizontal="right"/>
    </xf>
    <xf numFmtId="165" fontId="68" fillId="0" borderId="0" xfId="0" applyFont="1"/>
    <xf numFmtId="165" fontId="68" fillId="0" borderId="68" xfId="0" applyFont="1" applyBorder="1"/>
    <xf numFmtId="165" fontId="68" fillId="0" borderId="0" xfId="0" applyFont="1" applyAlignment="1">
      <alignment horizontal="center" vertical="center"/>
    </xf>
    <xf numFmtId="165" fontId="68" fillId="0" borderId="0" xfId="0" applyFont="1" applyBorder="1" applyAlignment="1">
      <alignment vertical="center"/>
    </xf>
    <xf numFmtId="165" fontId="68" fillId="0" borderId="0" xfId="0" applyFont="1" applyAlignment="1">
      <alignment horizontal="center" textRotation="90"/>
    </xf>
    <xf numFmtId="165" fontId="68" fillId="0" borderId="0" xfId="0" applyFont="1" applyAlignment="1">
      <alignment textRotation="90"/>
    </xf>
    <xf numFmtId="165" fontId="68" fillId="0" borderId="0" xfId="0" applyFont="1" applyAlignment="1">
      <alignment horizontal="center" vertical="center" textRotation="90"/>
    </xf>
    <xf numFmtId="165" fontId="68" fillId="16" borderId="0" xfId="0" applyFont="1" applyFill="1"/>
    <xf numFmtId="165" fontId="68" fillId="17" borderId="0" xfId="0" applyFont="1" applyFill="1"/>
    <xf numFmtId="165" fontId="68" fillId="0" borderId="0" xfId="0" applyFont="1" applyFill="1"/>
    <xf numFmtId="165" fontId="68" fillId="21" borderId="68" xfId="0" applyFont="1" applyFill="1" applyBorder="1" applyAlignment="1">
      <alignment horizontal="center" vertical="center" textRotation="90"/>
    </xf>
    <xf numFmtId="165" fontId="68" fillId="22" borderId="68" xfId="0" applyFont="1" applyFill="1" applyBorder="1" applyAlignment="1">
      <alignment horizontal="center" vertical="center" textRotation="90" wrapText="1"/>
    </xf>
    <xf numFmtId="165" fontId="68" fillId="22" borderId="68" xfId="0" applyFont="1" applyFill="1" applyBorder="1" applyAlignment="1">
      <alignment horizontal="center" vertical="center" textRotation="90"/>
    </xf>
    <xf numFmtId="165" fontId="68" fillId="5" borderId="0" xfId="0" applyFont="1" applyFill="1" applyAlignment="1">
      <alignment textRotation="90"/>
    </xf>
    <xf numFmtId="165" fontId="68" fillId="23" borderId="0" xfId="0" applyFont="1" applyFill="1"/>
    <xf numFmtId="165" fontId="69" fillId="23" borderId="0" xfId="0" applyFont="1" applyFill="1" applyAlignment="1">
      <alignment horizontal="center" vertical="center" textRotation="90"/>
    </xf>
    <xf numFmtId="165" fontId="69" fillId="16" borderId="0" xfId="0" applyFont="1" applyFill="1" applyAlignment="1">
      <alignment horizontal="center" vertical="center" textRotation="90"/>
    </xf>
    <xf numFmtId="165" fontId="68" fillId="0" borderId="0" xfId="0" applyFont="1" applyFill="1" applyBorder="1"/>
    <xf numFmtId="165" fontId="69" fillId="0" borderId="0" xfId="0" applyFont="1" applyFill="1" applyBorder="1" applyAlignment="1">
      <alignment horizontal="center" vertical="center" textRotation="90"/>
    </xf>
    <xf numFmtId="165" fontId="69" fillId="20" borderId="0" xfId="0" applyFont="1" applyFill="1"/>
    <xf numFmtId="165" fontId="68" fillId="0" borderId="30" xfId="0" applyFont="1" applyBorder="1"/>
    <xf numFmtId="165" fontId="68" fillId="8" borderId="0" xfId="0" applyFont="1" applyFill="1" applyBorder="1" applyAlignment="1">
      <alignment horizontal="center" vertical="center" textRotation="90" wrapText="1"/>
    </xf>
    <xf numFmtId="165" fontId="68" fillId="25" borderId="0" xfId="0" applyFont="1" applyFill="1"/>
    <xf numFmtId="165" fontId="68" fillId="8" borderId="0" xfId="0" applyFont="1" applyFill="1"/>
    <xf numFmtId="165" fontId="69" fillId="25" borderId="0" xfId="0" applyFont="1" applyFill="1" applyBorder="1" applyAlignment="1">
      <alignment horizontal="center" vertical="center" textRotation="90" wrapText="1"/>
    </xf>
    <xf numFmtId="165" fontId="37" fillId="0" borderId="0" xfId="0" applyFont="1"/>
    <xf numFmtId="165" fontId="68" fillId="5" borderId="0" xfId="0" applyFont="1" applyFill="1"/>
    <xf numFmtId="165" fontId="52" fillId="0" borderId="0" xfId="0" applyFont="1"/>
    <xf numFmtId="167" fontId="37" fillId="10" borderId="34" xfId="0" applyNumberFormat="1" applyFont="1" applyFill="1" applyBorder="1"/>
    <xf numFmtId="1" fontId="40" fillId="11" borderId="0" xfId="0" applyNumberFormat="1" applyFont="1" applyFill="1" applyBorder="1" applyAlignment="1">
      <alignment horizontal="center"/>
    </xf>
    <xf numFmtId="1" fontId="14" fillId="18" borderId="10" xfId="0" applyNumberFormat="1" applyFont="1" applyFill="1" applyBorder="1"/>
    <xf numFmtId="3" fontId="14" fillId="18" borderId="10" xfId="0" applyNumberFormat="1" applyFont="1" applyFill="1" applyBorder="1"/>
    <xf numFmtId="3" fontId="14" fillId="18" borderId="13" xfId="0" applyNumberFormat="1" applyFont="1" applyFill="1" applyBorder="1"/>
    <xf numFmtId="165" fontId="14" fillId="18" borderId="0" xfId="0" applyFont="1" applyFill="1" applyBorder="1"/>
    <xf numFmtId="9" fontId="48" fillId="9" borderId="48" xfId="2" applyFont="1" applyFill="1" applyBorder="1"/>
    <xf numFmtId="1" fontId="14" fillId="18" borderId="11" xfId="0" applyNumberFormat="1" applyFont="1" applyFill="1" applyBorder="1"/>
    <xf numFmtId="165" fontId="0" fillId="4" borderId="0" xfId="0" applyFill="1" applyBorder="1"/>
    <xf numFmtId="165" fontId="67" fillId="4" borderId="0" xfId="0" applyFont="1" applyFill="1" applyBorder="1" applyAlignment="1">
      <alignment horizontal="center" vertical="center" wrapText="1"/>
    </xf>
    <xf numFmtId="3" fontId="34" fillId="5" borderId="0" xfId="0" applyNumberFormat="1" applyFont="1" applyFill="1" applyBorder="1" applyAlignment="1">
      <alignment horizontal="right" vertical="center"/>
    </xf>
    <xf numFmtId="165" fontId="0" fillId="4" borderId="0" xfId="0" applyFill="1" applyBorder="1"/>
    <xf numFmtId="165" fontId="24" fillId="5" borderId="0" xfId="0" applyFont="1" applyFill="1" applyBorder="1" applyAlignment="1">
      <alignment horizontal="center"/>
    </xf>
    <xf numFmtId="165" fontId="29" fillId="5" borderId="0" xfId="0" applyFont="1" applyFill="1" applyBorder="1" applyAlignment="1">
      <alignment horizontal="center" vertical="center" wrapText="1"/>
    </xf>
    <xf numFmtId="165" fontId="13" fillId="5" borderId="30" xfId="0" applyFont="1" applyFill="1" applyBorder="1" applyAlignment="1">
      <alignment horizontal="center" vertical="center" wrapText="1"/>
    </xf>
    <xf numFmtId="165" fontId="75" fillId="4" borderId="0" xfId="0" applyFont="1" applyFill="1" applyBorder="1" applyAlignment="1"/>
    <xf numFmtId="165" fontId="75" fillId="4" borderId="0" xfId="0" applyFont="1" applyFill="1" applyBorder="1"/>
    <xf numFmtId="165" fontId="5" fillId="4" borderId="0" xfId="0" applyFont="1" applyFill="1" applyBorder="1" applyAlignment="1">
      <alignment vertical="center" wrapText="1"/>
    </xf>
    <xf numFmtId="165" fontId="75" fillId="4" borderId="0" xfId="0" applyFont="1" applyFill="1" applyBorder="1" applyAlignment="1">
      <alignment horizontal="center" vertical="center"/>
    </xf>
    <xf numFmtId="165" fontId="76" fillId="4" borderId="0" xfId="0" applyFont="1" applyFill="1" applyBorder="1" applyAlignment="1">
      <alignment horizontal="center" vertical="center"/>
    </xf>
    <xf numFmtId="165" fontId="13" fillId="5" borderId="30" xfId="0" applyFont="1" applyFill="1" applyBorder="1" applyAlignment="1">
      <alignment vertical="center" wrapText="1"/>
    </xf>
    <xf numFmtId="165" fontId="29" fillId="5" borderId="0" xfId="0" applyFont="1" applyFill="1" applyBorder="1" applyAlignment="1">
      <alignment vertical="center" wrapText="1"/>
    </xf>
    <xf numFmtId="165" fontId="2" fillId="5" borderId="0" xfId="0" applyFont="1" applyFill="1" applyBorder="1" applyAlignment="1">
      <alignment horizontal="center" vertical="center"/>
    </xf>
    <xf numFmtId="165" fontId="40" fillId="5" borderId="0" xfId="0" applyFont="1" applyFill="1" applyBorder="1" applyAlignment="1">
      <alignment vertical="center"/>
    </xf>
    <xf numFmtId="165" fontId="29" fillId="5" borderId="22" xfId="0" applyFont="1" applyFill="1" applyBorder="1" applyAlignment="1">
      <alignment vertical="center" wrapText="1"/>
    </xf>
    <xf numFmtId="165" fontId="29" fillId="5" borderId="22" xfId="0" applyFont="1" applyFill="1" applyBorder="1" applyAlignment="1">
      <alignment horizontal="center" vertical="center" wrapText="1"/>
    </xf>
    <xf numFmtId="3" fontId="77" fillId="5" borderId="26" xfId="0" applyNumberFormat="1" applyFont="1" applyFill="1" applyBorder="1" applyAlignment="1">
      <alignment horizontal="center" vertical="center"/>
    </xf>
    <xf numFmtId="165" fontId="11" fillId="5" borderId="0" xfId="0" applyFont="1" applyFill="1" applyBorder="1" applyAlignment="1">
      <alignment horizontal="right"/>
    </xf>
    <xf numFmtId="165" fontId="0" fillId="4" borderId="0" xfId="0" applyFill="1" applyBorder="1"/>
    <xf numFmtId="165" fontId="3" fillId="4" borderId="0" xfId="0" applyFont="1" applyFill="1" applyBorder="1" applyAlignment="1">
      <alignment horizontal="center" vertical="top"/>
    </xf>
    <xf numFmtId="165" fontId="3" fillId="4" borderId="0" xfId="0" applyFont="1" applyFill="1" applyBorder="1" applyAlignment="1">
      <alignment horizontal="center" vertical="center"/>
    </xf>
    <xf numFmtId="165" fontId="14" fillId="5" borderId="37" xfId="0" applyFont="1" applyFill="1" applyBorder="1"/>
    <xf numFmtId="165" fontId="14" fillId="5" borderId="38" xfId="0" applyFont="1" applyFill="1" applyBorder="1" applyAlignment="1">
      <alignment horizontal="center"/>
    </xf>
    <xf numFmtId="2" fontId="14" fillId="5" borderId="39" xfId="0" applyNumberFormat="1" applyFont="1" applyFill="1" applyBorder="1" applyAlignment="1">
      <alignment horizontal="center"/>
    </xf>
    <xf numFmtId="165" fontId="46" fillId="5" borderId="40" xfId="0" applyFont="1" applyFill="1" applyBorder="1"/>
    <xf numFmtId="3" fontId="48" fillId="5" borderId="10" xfId="0" applyNumberFormat="1" applyFont="1" applyFill="1" applyBorder="1" applyAlignment="1">
      <alignment horizontal="center"/>
    </xf>
    <xf numFmtId="1" fontId="48" fillId="5" borderId="41" xfId="0" applyNumberFormat="1" applyFont="1" applyFill="1" applyBorder="1"/>
    <xf numFmtId="168" fontId="0" fillId="5" borderId="0" xfId="0" applyNumberFormat="1" applyFill="1" applyBorder="1" applyAlignment="1">
      <alignment horizontal="center"/>
    </xf>
    <xf numFmtId="3" fontId="48" fillId="5" borderId="48" xfId="0" applyNumberFormat="1" applyFont="1" applyFill="1" applyBorder="1"/>
    <xf numFmtId="168" fontId="48" fillId="5" borderId="48" xfId="0" applyNumberFormat="1" applyFont="1" applyFill="1" applyBorder="1"/>
    <xf numFmtId="165" fontId="51" fillId="4" borderId="0" xfId="0" applyFont="1" applyFill="1" applyBorder="1" applyAlignment="1">
      <alignment horizontal="center"/>
    </xf>
    <xf numFmtId="165" fontId="11" fillId="4" borderId="0" xfId="0" applyFont="1" applyFill="1" applyBorder="1" applyAlignment="1"/>
    <xf numFmtId="165" fontId="11" fillId="5" borderId="0" xfId="0" applyFont="1" applyFill="1" applyBorder="1" applyAlignment="1"/>
    <xf numFmtId="165" fontId="0" fillId="4" borderId="0" xfId="0" quotePrefix="1" applyFill="1" applyBorder="1" applyAlignment="1">
      <alignment horizontal="left"/>
    </xf>
    <xf numFmtId="165" fontId="0" fillId="4" borderId="0" xfId="0" applyFill="1" applyBorder="1" applyAlignment="1">
      <alignment horizontal="left"/>
    </xf>
    <xf numFmtId="165" fontId="0" fillId="5" borderId="0" xfId="0" applyFill="1" applyAlignment="1">
      <alignment vertical="center"/>
    </xf>
    <xf numFmtId="165" fontId="2" fillId="5" borderId="0" xfId="0" applyFont="1" applyFill="1" applyAlignment="1">
      <alignment vertical="center"/>
    </xf>
    <xf numFmtId="165" fontId="0" fillId="0" borderId="0" xfId="0" applyAlignment="1">
      <alignment vertical="center"/>
    </xf>
    <xf numFmtId="165" fontId="0" fillId="4" borderId="0" xfId="0" applyFill="1" applyBorder="1" applyAlignment="1">
      <alignment horizontal="left" vertical="center"/>
    </xf>
    <xf numFmtId="165" fontId="0" fillId="4" borderId="0" xfId="0" quotePrefix="1" applyFill="1" applyBorder="1" applyAlignment="1">
      <alignment horizontal="left" vertical="center"/>
    </xf>
    <xf numFmtId="165" fontId="0" fillId="4" borderId="0" xfId="0" quotePrefix="1" applyFill="1" applyBorder="1" applyAlignment="1">
      <alignment vertical="center"/>
    </xf>
    <xf numFmtId="165" fontId="2" fillId="4" borderId="0" xfId="0" applyFont="1" applyFill="1" applyBorder="1" applyAlignment="1">
      <alignment vertical="center"/>
    </xf>
    <xf numFmtId="3" fontId="14" fillId="10" borderId="32" xfId="0" applyNumberFormat="1" applyFont="1" applyFill="1" applyBorder="1" applyAlignment="1">
      <alignment horizontal="center"/>
    </xf>
    <xf numFmtId="165" fontId="0" fillId="5" borderId="0" xfId="0" applyFill="1" applyBorder="1" applyAlignment="1">
      <alignment horizontal="center"/>
    </xf>
    <xf numFmtId="1" fontId="4" fillId="5" borderId="0" xfId="0" applyNumberFormat="1" applyFont="1" applyFill="1" applyBorder="1" applyAlignment="1">
      <alignment horizontal="center" vertical="center"/>
    </xf>
    <xf numFmtId="1" fontId="4" fillId="11" borderId="13" xfId="0" applyNumberFormat="1" applyFont="1" applyFill="1" applyBorder="1" applyAlignment="1">
      <alignment horizontal="center" vertical="center"/>
    </xf>
    <xf numFmtId="1" fontId="16" fillId="5" borderId="0" xfId="0" applyNumberFormat="1" applyFont="1" applyFill="1" applyBorder="1" applyAlignment="1">
      <alignment horizontal="center"/>
    </xf>
    <xf numFmtId="165" fontId="1" fillId="7" borderId="14" xfId="0" applyFont="1" applyFill="1" applyBorder="1" applyAlignment="1">
      <alignment horizontal="center" vertical="center" wrapText="1"/>
    </xf>
    <xf numFmtId="4" fontId="7" fillId="5" borderId="31" xfId="0" quotePrefix="1" applyNumberFormat="1" applyFont="1" applyFill="1" applyBorder="1" applyAlignment="1">
      <alignment horizontal="left" vertical="center" wrapText="1" readingOrder="1"/>
    </xf>
    <xf numFmtId="165" fontId="1" fillId="14" borderId="25" xfId="0" applyFont="1" applyFill="1" applyBorder="1" applyAlignment="1">
      <alignment horizontal="center"/>
    </xf>
    <xf numFmtId="165" fontId="1" fillId="14" borderId="27" xfId="0" applyFont="1" applyFill="1" applyBorder="1" applyAlignment="1">
      <alignment horizontal="center"/>
    </xf>
    <xf numFmtId="165" fontId="45" fillId="5" borderId="10" xfId="0" applyFont="1" applyFill="1" applyBorder="1" applyAlignment="1"/>
    <xf numFmtId="4" fontId="48" fillId="5" borderId="10" xfId="0" applyNumberFormat="1" applyFont="1" applyFill="1" applyBorder="1" applyAlignment="1">
      <alignment horizontal="center"/>
    </xf>
    <xf numFmtId="165" fontId="14" fillId="5" borderId="10" xfId="0" applyFont="1" applyFill="1" applyBorder="1" applyAlignment="1"/>
    <xf numFmtId="165" fontId="0" fillId="5" borderId="10" xfId="0" applyFont="1" applyFill="1" applyBorder="1" applyAlignment="1"/>
    <xf numFmtId="168" fontId="41" fillId="5" borderId="10" xfId="0" applyNumberFormat="1" applyFont="1" applyFill="1" applyBorder="1" applyAlignment="1">
      <alignment horizontal="center"/>
    </xf>
    <xf numFmtId="168" fontId="41" fillId="5" borderId="0" xfId="0" applyNumberFormat="1" applyFont="1" applyFill="1" applyBorder="1" applyAlignment="1">
      <alignment horizontal="center"/>
    </xf>
    <xf numFmtId="165" fontId="1" fillId="5" borderId="26" xfId="0" applyFont="1" applyFill="1" applyBorder="1" applyAlignment="1">
      <alignment horizontal="left"/>
    </xf>
    <xf numFmtId="165" fontId="14" fillId="14" borderId="37" xfId="0" applyFont="1" applyFill="1" applyBorder="1"/>
    <xf numFmtId="165" fontId="14" fillId="14" borderId="38" xfId="0" applyFont="1" applyFill="1" applyBorder="1" applyAlignment="1">
      <alignment horizontal="center"/>
    </xf>
    <xf numFmtId="2" fontId="14" fillId="14" borderId="39" xfId="0" applyNumberFormat="1" applyFont="1" applyFill="1" applyBorder="1" applyAlignment="1">
      <alignment horizontal="center"/>
    </xf>
    <xf numFmtId="1" fontId="57" fillId="5" borderId="10" xfId="0" applyNumberFormat="1" applyFont="1" applyFill="1" applyBorder="1" applyAlignment="1">
      <alignment horizontal="center" vertical="top" wrapText="1"/>
    </xf>
    <xf numFmtId="167" fontId="56" fillId="5" borderId="10" xfId="0" applyNumberFormat="1" applyFont="1" applyFill="1" applyBorder="1" applyAlignment="1">
      <alignment horizontal="center" vertical="top" wrapText="1"/>
    </xf>
    <xf numFmtId="165" fontId="0" fillId="5" borderId="0" xfId="0" applyFill="1" applyBorder="1" applyAlignment="1">
      <alignment horizontal="center"/>
    </xf>
    <xf numFmtId="165" fontId="14" fillId="7" borderId="10" xfId="0" applyFont="1" applyFill="1" applyBorder="1" applyAlignment="1">
      <alignment horizontal="center"/>
    </xf>
    <xf numFmtId="165" fontId="0" fillId="5" borderId="0" xfId="0" applyFill="1" applyBorder="1" applyAlignment="1">
      <alignment horizontal="center" wrapText="1"/>
    </xf>
    <xf numFmtId="3" fontId="14" fillId="7" borderId="32" xfId="0" applyNumberFormat="1" applyFont="1" applyFill="1" applyBorder="1" applyAlignment="1">
      <alignment horizontal="center"/>
    </xf>
    <xf numFmtId="1" fontId="4" fillId="11" borderId="13" xfId="0" applyNumberFormat="1" applyFont="1" applyFill="1" applyBorder="1" applyAlignment="1">
      <alignment horizontal="center" vertical="center"/>
    </xf>
    <xf numFmtId="1" fontId="16" fillId="5" borderId="0" xfId="0" applyNumberFormat="1" applyFont="1" applyFill="1" applyBorder="1" applyAlignment="1">
      <alignment horizontal="center"/>
    </xf>
    <xf numFmtId="1" fontId="4" fillId="5" borderId="0" xfId="0" applyNumberFormat="1" applyFont="1" applyFill="1" applyBorder="1" applyAlignment="1">
      <alignment horizontal="center" vertical="center"/>
    </xf>
    <xf numFmtId="165" fontId="1" fillId="7" borderId="14" xfId="0" applyFont="1" applyFill="1" applyBorder="1" applyAlignment="1">
      <alignment horizontal="center" vertical="center" wrapText="1"/>
    </xf>
    <xf numFmtId="1" fontId="16" fillId="5" borderId="25" xfId="0" applyNumberFormat="1" applyFont="1" applyFill="1" applyBorder="1" applyAlignment="1">
      <alignment horizontal="center" wrapText="1"/>
    </xf>
    <xf numFmtId="1" fontId="16" fillId="5" borderId="26" xfId="0" applyNumberFormat="1" applyFont="1" applyFill="1" applyBorder="1" applyAlignment="1">
      <alignment horizontal="center" wrapText="1"/>
    </xf>
    <xf numFmtId="1" fontId="16" fillId="5" borderId="27" xfId="0" applyNumberFormat="1" applyFont="1" applyFill="1" applyBorder="1" applyAlignment="1">
      <alignment horizontal="center" wrapText="1"/>
    </xf>
    <xf numFmtId="1" fontId="16" fillId="5" borderId="28" xfId="0" applyNumberFormat="1" applyFont="1" applyFill="1" applyBorder="1" applyAlignment="1">
      <alignment horizontal="center" wrapText="1"/>
    </xf>
    <xf numFmtId="1" fontId="16" fillId="5" borderId="0" xfId="0" applyNumberFormat="1" applyFont="1" applyFill="1" applyBorder="1" applyAlignment="1">
      <alignment horizontal="center" wrapText="1"/>
    </xf>
    <xf numFmtId="1" fontId="16" fillId="5" borderId="29" xfId="0" applyNumberFormat="1" applyFont="1" applyFill="1" applyBorder="1" applyAlignment="1">
      <alignment horizontal="center" wrapText="1"/>
    </xf>
    <xf numFmtId="1" fontId="16" fillId="5" borderId="36" xfId="0" applyNumberFormat="1" applyFont="1" applyFill="1" applyBorder="1" applyAlignment="1">
      <alignment horizontal="center" wrapText="1"/>
    </xf>
    <xf numFmtId="1" fontId="16" fillId="5" borderId="30" xfId="0" applyNumberFormat="1" applyFont="1" applyFill="1" applyBorder="1" applyAlignment="1">
      <alignment horizontal="center" wrapText="1"/>
    </xf>
    <xf numFmtId="1" fontId="16" fillId="5" borderId="31" xfId="0" applyNumberFormat="1" applyFont="1" applyFill="1" applyBorder="1" applyAlignment="1">
      <alignment horizontal="center" wrapText="1"/>
    </xf>
    <xf numFmtId="165" fontId="79" fillId="10" borderId="15" xfId="0" applyFont="1" applyFill="1" applyBorder="1" applyAlignment="1">
      <alignment horizontal="center" vertical="center" wrapText="1"/>
    </xf>
    <xf numFmtId="1" fontId="80" fillId="10" borderId="10" xfId="0" applyNumberFormat="1" applyFont="1" applyFill="1" applyBorder="1" applyAlignment="1">
      <alignment horizontal="center" vertical="center"/>
    </xf>
    <xf numFmtId="1" fontId="80" fillId="11" borderId="10" xfId="0" applyNumberFormat="1" applyFont="1" applyFill="1" applyBorder="1" applyAlignment="1">
      <alignment horizontal="center" vertical="center"/>
    </xf>
    <xf numFmtId="1" fontId="16" fillId="11" borderId="10" xfId="0" applyNumberFormat="1" applyFont="1" applyFill="1" applyBorder="1" applyAlignment="1">
      <alignment horizontal="center"/>
    </xf>
    <xf numFmtId="3" fontId="14" fillId="18" borderId="10" xfId="0" applyNumberFormat="1" applyFont="1" applyFill="1" applyBorder="1" applyAlignment="1">
      <alignment horizontal="center"/>
    </xf>
    <xf numFmtId="168" fontId="14" fillId="18" borderId="32" xfId="0" applyNumberFormat="1" applyFont="1" applyFill="1" applyBorder="1" applyAlignment="1">
      <alignment horizontal="center"/>
    </xf>
    <xf numFmtId="1" fontId="39" fillId="10" borderId="13" xfId="0" applyNumberFormat="1" applyFont="1" applyFill="1" applyBorder="1" applyAlignment="1">
      <alignment horizontal="center"/>
    </xf>
    <xf numFmtId="1" fontId="16" fillId="10" borderId="51" xfId="0" applyNumberFormat="1" applyFont="1" applyFill="1" applyBorder="1" applyAlignment="1">
      <alignment horizontal="center"/>
    </xf>
    <xf numFmtId="169" fontId="14" fillId="28" borderId="32" xfId="0" applyNumberFormat="1" applyFont="1" applyFill="1" applyBorder="1" applyAlignment="1">
      <alignment horizontal="center"/>
    </xf>
    <xf numFmtId="1" fontId="16" fillId="11" borderId="13" xfId="0" applyNumberFormat="1" applyFont="1" applyFill="1" applyBorder="1" applyAlignment="1">
      <alignment horizontal="center"/>
    </xf>
    <xf numFmtId="1" fontId="37" fillId="10" borderId="10" xfId="0" applyNumberFormat="1" applyFont="1" applyFill="1" applyBorder="1" applyAlignment="1">
      <alignment horizontal="center"/>
    </xf>
    <xf numFmtId="165" fontId="0" fillId="4" borderId="0" xfId="0" applyFill="1" applyBorder="1"/>
    <xf numFmtId="3" fontId="14" fillId="28" borderId="32" xfId="0" applyNumberFormat="1" applyFont="1" applyFill="1" applyBorder="1" applyAlignment="1">
      <alignment horizontal="center"/>
    </xf>
    <xf numFmtId="165" fontId="58" fillId="22" borderId="68" xfId="1" applyFill="1" applyBorder="1" applyAlignment="1">
      <alignment horizontal="center" vertical="center" textRotation="90" wrapText="1"/>
    </xf>
    <xf numFmtId="165" fontId="68" fillId="5" borderId="0" xfId="0" applyFont="1" applyFill="1" applyBorder="1" applyAlignment="1">
      <alignment horizontal="center" vertical="center" textRotation="90" wrapText="1"/>
    </xf>
    <xf numFmtId="165" fontId="68" fillId="5" borderId="0" xfId="0" applyFont="1" applyFill="1" applyBorder="1" applyAlignment="1">
      <alignment horizontal="center" vertical="center" textRotation="90"/>
    </xf>
    <xf numFmtId="165" fontId="55" fillId="5" borderId="0" xfId="0" applyFont="1" applyFill="1" applyBorder="1" applyAlignment="1">
      <alignment horizontal="center" vertical="center" textRotation="90"/>
    </xf>
    <xf numFmtId="165" fontId="71" fillId="22" borderId="68" xfId="1" applyFont="1" applyFill="1" applyBorder="1" applyAlignment="1">
      <alignment horizontal="center" vertical="center" textRotation="90" wrapText="1"/>
    </xf>
    <xf numFmtId="165" fontId="58" fillId="26" borderId="68" xfId="1" applyFill="1" applyBorder="1" applyAlignment="1">
      <alignment horizontal="center" vertical="center" textRotation="90"/>
    </xf>
    <xf numFmtId="165" fontId="58" fillId="17" borderId="0" xfId="1" applyFill="1" applyAlignment="1">
      <alignment horizontal="center" textRotation="90"/>
    </xf>
    <xf numFmtId="165" fontId="58" fillId="17" borderId="68" xfId="1" applyFill="1" applyBorder="1" applyAlignment="1">
      <alignment horizontal="center" textRotation="90"/>
    </xf>
    <xf numFmtId="165" fontId="58" fillId="22" borderId="68" xfId="1" applyFill="1" applyBorder="1" applyAlignment="1">
      <alignment horizontal="center" vertical="center" textRotation="90"/>
    </xf>
    <xf numFmtId="165" fontId="0" fillId="0" borderId="0" xfId="0" applyAlignment="1">
      <alignment horizontal="center"/>
    </xf>
    <xf numFmtId="165" fontId="0" fillId="0" borderId="0" xfId="0" applyAlignment="1">
      <alignment horizontal="center"/>
    </xf>
    <xf numFmtId="3" fontId="77" fillId="5" borderId="26" xfId="0" applyNumberFormat="1" applyFont="1" applyFill="1" applyBorder="1" applyAlignment="1">
      <alignment horizontal="right" vertical="center"/>
    </xf>
    <xf numFmtId="165" fontId="40" fillId="5" borderId="0" xfId="0" applyFont="1" applyFill="1" applyBorder="1" applyAlignment="1">
      <alignment horizontal="center" vertical="center"/>
    </xf>
    <xf numFmtId="165" fontId="16" fillId="5" borderId="0" xfId="0" applyNumberFormat="1" applyFont="1" applyFill="1" applyBorder="1" applyAlignment="1">
      <alignment horizontal="center" vertical="center"/>
    </xf>
    <xf numFmtId="165" fontId="16" fillId="5" borderId="21" xfId="0" applyNumberFormat="1" applyFont="1" applyFill="1" applyBorder="1" applyAlignment="1">
      <alignment horizontal="center" vertical="center"/>
    </xf>
    <xf numFmtId="165" fontId="32" fillId="5" borderId="0" xfId="0" applyFont="1" applyFill="1" applyBorder="1" applyAlignment="1">
      <alignment vertical="center"/>
    </xf>
    <xf numFmtId="165" fontId="30" fillId="5" borderId="0" xfId="0" applyFont="1" applyFill="1" applyBorder="1" applyAlignment="1">
      <alignment horizontal="left" vertical="center"/>
    </xf>
    <xf numFmtId="3" fontId="30" fillId="5" borderId="0" xfId="0" applyNumberFormat="1" applyFont="1" applyFill="1" applyBorder="1" applyAlignment="1">
      <alignment horizontal="center" vertical="center"/>
    </xf>
    <xf numFmtId="3" fontId="41" fillId="5" borderId="10" xfId="0" applyNumberFormat="1" applyFont="1" applyFill="1" applyBorder="1" applyAlignment="1">
      <alignment horizontal="center"/>
    </xf>
    <xf numFmtId="11" fontId="41" fillId="5" borderId="10" xfId="0" applyNumberFormat="1" applyFont="1" applyFill="1" applyBorder="1" applyAlignment="1">
      <alignment horizontal="center"/>
    </xf>
    <xf numFmtId="168" fontId="48" fillId="5" borderId="10" xfId="0" applyNumberFormat="1" applyFont="1" applyFill="1" applyBorder="1" applyAlignment="1">
      <alignment horizontal="center"/>
    </xf>
    <xf numFmtId="165" fontId="58" fillId="5" borderId="0" xfId="1" applyFill="1" applyBorder="1" applyAlignment="1">
      <alignment horizontal="center" vertical="center" textRotation="90"/>
    </xf>
    <xf numFmtId="165" fontId="58" fillId="5" borderId="0" xfId="1" applyFill="1" applyBorder="1" applyAlignment="1">
      <alignment horizontal="center" vertical="center" textRotation="90" wrapText="1"/>
    </xf>
    <xf numFmtId="165" fontId="58" fillId="19" borderId="70" xfId="1" applyFill="1" applyBorder="1" applyAlignment="1">
      <alignment horizontal="center" vertical="center" textRotation="90"/>
    </xf>
    <xf numFmtId="165" fontId="58" fillId="19" borderId="70" xfId="1" applyFill="1" applyBorder="1" applyAlignment="1">
      <alignment horizontal="center" vertical="center" textRotation="90" wrapText="1"/>
    </xf>
    <xf numFmtId="165" fontId="58" fillId="22" borderId="70" xfId="1" applyFill="1" applyBorder="1" applyAlignment="1">
      <alignment horizontal="center" vertical="center" textRotation="90" wrapText="1"/>
    </xf>
    <xf numFmtId="165" fontId="0" fillId="4" borderId="0" xfId="0" applyFill="1" applyBorder="1"/>
    <xf numFmtId="168" fontId="14" fillId="7" borderId="10" xfId="0" applyNumberFormat="1" applyFont="1" applyFill="1" applyBorder="1"/>
    <xf numFmtId="1" fontId="14" fillId="10" borderId="35" xfId="0" applyNumberFormat="1" applyFont="1" applyFill="1" applyBorder="1" applyAlignment="1">
      <alignment horizontal="center"/>
    </xf>
    <xf numFmtId="165" fontId="41" fillId="0" borderId="0" xfId="0" applyFont="1" applyBorder="1"/>
    <xf numFmtId="165" fontId="29" fillId="5" borderId="21" xfId="0" applyFont="1" applyFill="1" applyBorder="1" applyAlignment="1">
      <alignment horizontal="center" vertical="center" wrapText="1"/>
    </xf>
    <xf numFmtId="3" fontId="29" fillId="5" borderId="26" xfId="0" applyNumberFormat="1" applyFont="1" applyFill="1" applyBorder="1" applyAlignment="1">
      <alignment horizontal="center" vertical="center"/>
    </xf>
    <xf numFmtId="3" fontId="29" fillId="5" borderId="21" xfId="0" applyNumberFormat="1" applyFont="1" applyFill="1" applyBorder="1" applyAlignment="1">
      <alignment horizontal="center" vertical="center"/>
    </xf>
    <xf numFmtId="165" fontId="25" fillId="5" borderId="0" xfId="0" applyFont="1" applyFill="1" applyBorder="1" applyAlignment="1">
      <alignment horizontal="center"/>
    </xf>
    <xf numFmtId="165" fontId="32" fillId="5" borderId="0" xfId="0" applyFont="1" applyFill="1" applyBorder="1" applyAlignment="1">
      <alignment horizontal="right" vertical="center"/>
    </xf>
    <xf numFmtId="165" fontId="29" fillId="5" borderId="21" xfId="0" applyFont="1" applyFill="1" applyBorder="1" applyAlignment="1">
      <alignment horizontal="center" vertical="center"/>
    </xf>
    <xf numFmtId="165" fontId="29" fillId="5" borderId="0" xfId="0" applyFont="1" applyFill="1" applyBorder="1" applyAlignment="1">
      <alignment horizontal="center" vertical="center"/>
    </xf>
    <xf numFmtId="165" fontId="34" fillId="5" borderId="0" xfId="0" applyFont="1" applyFill="1" applyBorder="1" applyAlignment="1">
      <alignment horizontal="right" vertical="center"/>
    </xf>
    <xf numFmtId="165" fontId="0" fillId="5" borderId="0" xfId="0" applyFill="1" applyBorder="1" applyAlignment="1">
      <alignment horizontal="center" wrapText="1"/>
    </xf>
    <xf numFmtId="165" fontId="13" fillId="5" borderId="0" xfId="0" applyFont="1" applyFill="1" applyBorder="1" applyAlignment="1">
      <alignment vertical="center" wrapText="1"/>
    </xf>
    <xf numFmtId="165" fontId="1" fillId="5" borderId="0" xfId="0" applyFont="1" applyFill="1" applyBorder="1" applyAlignment="1">
      <alignment horizontal="center" vertical="top"/>
    </xf>
    <xf numFmtId="165" fontId="37" fillId="5" borderId="0" xfId="0" applyFont="1" applyFill="1" applyBorder="1" applyAlignment="1">
      <alignment horizontal="center" textRotation="90" wrapText="1"/>
    </xf>
    <xf numFmtId="165" fontId="32" fillId="5" borderId="0" xfId="0" applyFont="1" applyFill="1" applyBorder="1" applyAlignment="1">
      <alignment horizontal="right" vertical="center"/>
    </xf>
    <xf numFmtId="165" fontId="29" fillId="5" borderId="22" xfId="0" applyFont="1" applyFill="1" applyBorder="1" applyAlignment="1">
      <alignment horizontal="center" vertical="center"/>
    </xf>
    <xf numFmtId="165" fontId="0" fillId="5" borderId="0" xfId="0" applyFill="1" applyBorder="1" applyAlignment="1">
      <alignment horizontal="center" wrapText="1"/>
    </xf>
    <xf numFmtId="165" fontId="34" fillId="5" borderId="0" xfId="0" applyFont="1" applyFill="1" applyBorder="1" applyAlignment="1">
      <alignment horizontal="right" vertical="center"/>
    </xf>
    <xf numFmtId="165" fontId="29" fillId="5" borderId="30" xfId="0" applyFont="1" applyFill="1" applyBorder="1" applyAlignment="1">
      <alignment horizontal="center" vertical="center" wrapText="1"/>
    </xf>
    <xf numFmtId="165" fontId="29" fillId="5" borderId="30" xfId="0" applyFont="1" applyFill="1" applyBorder="1" applyAlignment="1">
      <alignment horizontal="center" vertical="center"/>
    </xf>
    <xf numFmtId="168" fontId="34" fillId="5" borderId="0" xfId="0" applyNumberFormat="1" applyFont="1" applyFill="1" applyBorder="1" applyAlignment="1">
      <alignment horizontal="right" vertical="center"/>
    </xf>
    <xf numFmtId="3" fontId="33" fillId="5" borderId="0" xfId="0" applyNumberFormat="1" applyFont="1" applyFill="1" applyBorder="1" applyAlignment="1">
      <alignment horizontal="center" vertical="center"/>
    </xf>
    <xf numFmtId="3" fontId="33" fillId="5" borderId="0" xfId="0" applyNumberFormat="1" applyFont="1" applyFill="1" applyBorder="1" applyAlignment="1">
      <alignment horizontal="left" vertical="center"/>
    </xf>
    <xf numFmtId="3" fontId="0" fillId="5" borderId="0" xfId="0" applyNumberFormat="1" applyFill="1" applyBorder="1"/>
    <xf numFmtId="3" fontId="33" fillId="5" borderId="0" xfId="0" applyNumberFormat="1" applyFont="1" applyFill="1" applyBorder="1" applyAlignment="1">
      <alignment vertical="center"/>
    </xf>
    <xf numFmtId="3" fontId="34" fillId="5" borderId="0" xfId="0" applyNumberFormat="1" applyFont="1" applyFill="1" applyBorder="1" applyAlignment="1">
      <alignment vertical="center"/>
    </xf>
    <xf numFmtId="165" fontId="37" fillId="5" borderId="0" xfId="0" applyFont="1" applyFill="1" applyBorder="1" applyAlignment="1">
      <alignment horizontal="center" textRotation="90" wrapText="1"/>
    </xf>
    <xf numFmtId="3" fontId="29" fillId="5" borderId="0" xfId="0" applyNumberFormat="1" applyFont="1" applyFill="1" applyBorder="1" applyAlignment="1">
      <alignment horizontal="center" vertical="center"/>
    </xf>
    <xf numFmtId="3" fontId="1" fillId="5" borderId="0" xfId="0" applyNumberFormat="1" applyFont="1" applyFill="1" applyBorder="1" applyAlignment="1">
      <alignment horizontal="center" vertical="center"/>
    </xf>
    <xf numFmtId="165" fontId="29" fillId="5" borderId="0" xfId="0" applyFont="1" applyFill="1" applyBorder="1" applyAlignment="1">
      <alignment horizontal="center" vertical="center"/>
    </xf>
    <xf numFmtId="165" fontId="0" fillId="5" borderId="0" xfId="0" applyFill="1" applyBorder="1" applyAlignment="1">
      <alignment horizontal="center" wrapText="1"/>
    </xf>
    <xf numFmtId="165" fontId="87" fillId="0" borderId="0" xfId="0" applyFont="1"/>
    <xf numFmtId="165" fontId="58" fillId="0" borderId="0" xfId="1"/>
    <xf numFmtId="165" fontId="1" fillId="14" borderId="25" xfId="0" applyFont="1" applyFill="1" applyBorder="1" applyAlignment="1"/>
    <xf numFmtId="165" fontId="1" fillId="14" borderId="27" xfId="0" applyFont="1" applyFill="1" applyBorder="1" applyAlignment="1"/>
    <xf numFmtId="165" fontId="0" fillId="9" borderId="0" xfId="0" applyFont="1" applyFill="1"/>
    <xf numFmtId="165" fontId="1" fillId="17" borderId="15" xfId="0" applyFont="1" applyFill="1" applyBorder="1" applyAlignment="1">
      <alignment horizontal="center" vertical="center" wrapText="1"/>
    </xf>
    <xf numFmtId="4" fontId="14" fillId="17" borderId="10" xfId="0" applyNumberFormat="1" applyFont="1" applyFill="1" applyBorder="1"/>
    <xf numFmtId="166" fontId="16" fillId="17" borderId="10" xfId="0" applyNumberFormat="1" applyFont="1" applyFill="1" applyBorder="1" applyAlignment="1">
      <alignment horizontal="center"/>
    </xf>
    <xf numFmtId="1" fontId="18" fillId="17" borderId="13" xfId="0" applyNumberFormat="1" applyFont="1" applyFill="1" applyBorder="1" applyAlignment="1">
      <alignment horizontal="center" vertical="center" wrapText="1"/>
    </xf>
    <xf numFmtId="166" fontId="1" fillId="17" borderId="10" xfId="0" applyNumberFormat="1" applyFont="1" applyFill="1" applyBorder="1" applyAlignment="1">
      <alignment horizontal="center"/>
    </xf>
    <xf numFmtId="165" fontId="0" fillId="0" borderId="0" xfId="0" applyAlignment="1"/>
    <xf numFmtId="166" fontId="88" fillId="17" borderId="10" xfId="0" applyNumberFormat="1" applyFont="1" applyFill="1" applyBorder="1" applyAlignment="1">
      <alignment horizontal="center"/>
    </xf>
    <xf numFmtId="1" fontId="4" fillId="5" borderId="0" xfId="0" applyNumberFormat="1" applyFont="1" applyFill="1" applyBorder="1" applyAlignment="1">
      <alignment vertical="center"/>
    </xf>
    <xf numFmtId="165" fontId="16" fillId="10" borderId="26" xfId="0" applyNumberFormat="1" applyFont="1" applyFill="1" applyBorder="1" applyAlignment="1">
      <alignment horizontal="center" vertical="center"/>
    </xf>
    <xf numFmtId="165" fontId="16" fillId="10" borderId="0" xfId="0" applyNumberFormat="1" applyFont="1" applyFill="1" applyBorder="1" applyAlignment="1">
      <alignment horizontal="center" vertical="center"/>
    </xf>
    <xf numFmtId="165" fontId="86" fillId="21" borderId="21" xfId="0" applyNumberFormat="1" applyFont="1" applyFill="1" applyBorder="1" applyAlignment="1">
      <alignment horizontal="center" vertical="center"/>
    </xf>
    <xf numFmtId="165" fontId="40" fillId="31" borderId="0" xfId="0" applyFont="1" applyFill="1" applyBorder="1" applyAlignment="1">
      <alignment horizontal="center" vertical="center" wrapText="1"/>
    </xf>
    <xf numFmtId="165" fontId="85" fillId="10" borderId="21" xfId="0" applyNumberFormat="1" applyFont="1" applyFill="1" applyBorder="1" applyAlignment="1">
      <alignment horizontal="center" vertical="center"/>
    </xf>
    <xf numFmtId="165" fontId="29" fillId="10" borderId="0" xfId="0" applyFont="1" applyFill="1" applyBorder="1" applyAlignment="1">
      <alignment vertical="center" wrapText="1"/>
    </xf>
    <xf numFmtId="165" fontId="29" fillId="10" borderId="22" xfId="0" applyFont="1" applyFill="1" applyBorder="1" applyAlignment="1">
      <alignment vertical="center" wrapText="1"/>
    </xf>
    <xf numFmtId="165" fontId="85" fillId="10" borderId="30" xfId="0" applyNumberFormat="1" applyFont="1" applyFill="1" applyBorder="1" applyAlignment="1">
      <alignment horizontal="center" vertical="center"/>
    </xf>
    <xf numFmtId="3" fontId="16" fillId="8" borderId="0" xfId="0" applyNumberFormat="1" applyFont="1" applyFill="1" applyBorder="1" applyAlignment="1">
      <alignment horizontal="left" vertical="center"/>
    </xf>
    <xf numFmtId="168" fontId="16" fillId="8" borderId="21" xfId="0" applyNumberFormat="1" applyFont="1" applyFill="1" applyBorder="1" applyAlignment="1">
      <alignment horizontal="center" vertical="center"/>
    </xf>
    <xf numFmtId="3" fontId="16" fillId="8" borderId="21" xfId="0" applyNumberFormat="1" applyFont="1" applyFill="1" applyBorder="1" applyAlignment="1">
      <alignment horizontal="left" vertical="center"/>
    </xf>
    <xf numFmtId="168" fontId="16" fillId="8" borderId="21" xfId="0" applyNumberFormat="1" applyFont="1" applyFill="1" applyBorder="1" applyAlignment="1">
      <alignment horizontal="right" vertical="center"/>
    </xf>
    <xf numFmtId="168" fontId="16" fillId="8" borderId="0" xfId="0" applyNumberFormat="1" applyFont="1" applyFill="1" applyBorder="1" applyAlignment="1">
      <alignment horizontal="center" vertical="center"/>
    </xf>
    <xf numFmtId="168" fontId="16" fillId="8" borderId="0" xfId="0" applyNumberFormat="1" applyFont="1" applyFill="1" applyBorder="1" applyAlignment="1">
      <alignment horizontal="right" vertical="center" indent="1"/>
    </xf>
    <xf numFmtId="168" fontId="16" fillId="8" borderId="0" xfId="0" applyNumberFormat="1" applyFont="1" applyFill="1" applyBorder="1" applyAlignment="1">
      <alignment horizontal="left" vertical="center"/>
    </xf>
    <xf numFmtId="165" fontId="40" fillId="4" borderId="0" xfId="0" applyFont="1" applyFill="1" applyBorder="1" applyAlignment="1">
      <alignment horizontal="center" vertical="center" wrapText="1"/>
    </xf>
    <xf numFmtId="165" fontId="40" fillId="4" borderId="30" xfId="0" applyFont="1" applyFill="1" applyBorder="1" applyAlignment="1">
      <alignment horizontal="center" vertical="center"/>
    </xf>
    <xf numFmtId="168" fontId="11" fillId="8" borderId="26" xfId="0" applyNumberFormat="1" applyFont="1" applyFill="1" applyBorder="1" applyAlignment="1">
      <alignment horizontal="center" vertical="center"/>
    </xf>
    <xf numFmtId="3" fontId="11" fillId="8" borderId="26" xfId="0" applyNumberFormat="1" applyFont="1" applyFill="1" applyBorder="1" applyAlignment="1">
      <alignment horizontal="left" vertical="center"/>
    </xf>
    <xf numFmtId="168" fontId="11" fillId="8" borderId="26" xfId="0" applyNumberFormat="1" applyFont="1" applyFill="1" applyBorder="1" applyAlignment="1">
      <alignment horizontal="right" vertical="center"/>
    </xf>
    <xf numFmtId="3" fontId="11" fillId="8" borderId="0" xfId="0" applyNumberFormat="1" applyFont="1" applyFill="1" applyBorder="1" applyAlignment="1">
      <alignment horizontal="left" vertical="center"/>
    </xf>
    <xf numFmtId="3" fontId="11" fillId="5" borderId="0" xfId="0" applyNumberFormat="1" applyFont="1" applyFill="1" applyBorder="1" applyAlignment="1">
      <alignment horizontal="center" vertical="center"/>
    </xf>
    <xf numFmtId="3" fontId="11" fillId="5" borderId="0" xfId="0" applyNumberFormat="1" applyFont="1" applyFill="1" applyBorder="1" applyAlignment="1">
      <alignment horizontal="left" vertical="center"/>
    </xf>
    <xf numFmtId="3" fontId="11" fillId="5" borderId="0" xfId="0" applyNumberFormat="1" applyFont="1" applyFill="1" applyBorder="1" applyAlignment="1">
      <alignment horizontal="right" vertical="center"/>
    </xf>
    <xf numFmtId="168" fontId="11" fillId="8" borderId="21" xfId="0" applyNumberFormat="1" applyFont="1" applyFill="1" applyBorder="1" applyAlignment="1">
      <alignment horizontal="center" vertical="center"/>
    </xf>
    <xf numFmtId="3" fontId="11" fillId="8" borderId="21" xfId="0" applyNumberFormat="1" applyFont="1" applyFill="1" applyBorder="1" applyAlignment="1">
      <alignment horizontal="left" vertical="center"/>
    </xf>
    <xf numFmtId="168" fontId="11" fillId="8" borderId="21" xfId="0" applyNumberFormat="1" applyFont="1" applyFill="1" applyBorder="1" applyAlignment="1">
      <alignment horizontal="right" vertical="center"/>
    </xf>
    <xf numFmtId="3" fontId="1" fillId="5" borderId="0" xfId="0" applyNumberFormat="1" applyFont="1" applyFill="1" applyBorder="1" applyAlignment="1">
      <alignment horizontal="left" vertical="center"/>
    </xf>
    <xf numFmtId="3" fontId="1" fillId="5" borderId="0" xfId="0" applyNumberFormat="1" applyFont="1" applyFill="1" applyBorder="1" applyAlignment="1">
      <alignment horizontal="right" vertical="center"/>
    </xf>
    <xf numFmtId="165" fontId="11" fillId="21" borderId="26" xfId="0" applyNumberFormat="1" applyFont="1" applyFill="1" applyBorder="1" applyAlignment="1">
      <alignment horizontal="center" vertical="center"/>
    </xf>
    <xf numFmtId="165" fontId="92" fillId="5" borderId="0" xfId="0" applyFont="1" applyFill="1" applyBorder="1" applyAlignment="1">
      <alignment vertical="center" wrapText="1"/>
    </xf>
    <xf numFmtId="165" fontId="11" fillId="2" borderId="26" xfId="0" applyNumberFormat="1" applyFont="1" applyFill="1" applyBorder="1" applyAlignment="1">
      <alignment horizontal="center" vertical="center"/>
    </xf>
    <xf numFmtId="165" fontId="11" fillId="21" borderId="0" xfId="0" applyNumberFormat="1" applyFont="1" applyFill="1" applyBorder="1" applyAlignment="1">
      <alignment horizontal="center" vertical="center"/>
    </xf>
    <xf numFmtId="165" fontId="11" fillId="2" borderId="0" xfId="0" applyNumberFormat="1" applyFont="1" applyFill="1" applyBorder="1" applyAlignment="1">
      <alignment horizontal="center" vertical="center"/>
    </xf>
    <xf numFmtId="165" fontId="92" fillId="5" borderId="21" xfId="0" applyFont="1" applyFill="1" applyBorder="1" applyAlignment="1">
      <alignment horizontal="center" vertical="center" wrapText="1"/>
    </xf>
    <xf numFmtId="165" fontId="86" fillId="2" borderId="21" xfId="0" applyNumberFormat="1" applyFont="1" applyFill="1" applyBorder="1" applyAlignment="1">
      <alignment horizontal="center" vertical="center"/>
    </xf>
    <xf numFmtId="165" fontId="11" fillId="21" borderId="22" xfId="0" applyNumberFormat="1" applyFont="1" applyFill="1" applyBorder="1" applyAlignment="1">
      <alignment horizontal="center" vertical="center"/>
    </xf>
    <xf numFmtId="165" fontId="92" fillId="5" borderId="22" xfId="0" applyFont="1" applyFill="1" applyBorder="1" applyAlignment="1">
      <alignment vertical="center" wrapText="1"/>
    </xf>
    <xf numFmtId="165" fontId="92" fillId="2" borderId="22" xfId="0" applyFont="1" applyFill="1" applyBorder="1" applyAlignment="1">
      <alignment vertical="center" wrapText="1"/>
    </xf>
    <xf numFmtId="165" fontId="92" fillId="2" borderId="0" xfId="0" applyFont="1" applyFill="1" applyBorder="1" applyAlignment="1">
      <alignment vertical="center" wrapText="1"/>
    </xf>
    <xf numFmtId="165" fontId="11" fillId="21" borderId="30" xfId="0" applyNumberFormat="1" applyFont="1" applyFill="1" applyBorder="1" applyAlignment="1">
      <alignment horizontal="center" vertical="center"/>
    </xf>
    <xf numFmtId="165" fontId="92" fillId="5" borderId="30" xfId="0" applyFont="1" applyFill="1" applyBorder="1" applyAlignment="1">
      <alignment horizontal="center" vertical="center" wrapText="1"/>
    </xf>
    <xf numFmtId="165" fontId="86" fillId="2" borderId="30" xfId="0" applyNumberFormat="1" applyFont="1" applyFill="1" applyBorder="1" applyAlignment="1">
      <alignment horizontal="center" vertical="center"/>
    </xf>
    <xf numFmtId="165" fontId="93" fillId="5" borderId="0" xfId="0" applyFont="1" applyFill="1" applyBorder="1"/>
    <xf numFmtId="165" fontId="1" fillId="5" borderId="0" xfId="0" applyFont="1" applyFill="1" applyBorder="1" applyAlignment="1">
      <alignment horizontal="right" vertical="center" wrapText="1"/>
    </xf>
    <xf numFmtId="165" fontId="94" fillId="0" borderId="0" xfId="0" applyFont="1"/>
    <xf numFmtId="165" fontId="64" fillId="0" borderId="0" xfId="0" applyFont="1"/>
    <xf numFmtId="1" fontId="16" fillId="5" borderId="0" xfId="0" applyNumberFormat="1" applyFont="1" applyFill="1" applyBorder="1" applyAlignment="1">
      <alignment horizontal="center"/>
    </xf>
    <xf numFmtId="165" fontId="95" fillId="5" borderId="0" xfId="0" applyFont="1" applyFill="1" applyBorder="1" applyAlignment="1">
      <alignment horizontal="center" vertical="center" wrapText="1"/>
    </xf>
    <xf numFmtId="165" fontId="0" fillId="5" borderId="0" xfId="0" applyFill="1" applyBorder="1" applyAlignment="1">
      <alignment horizontal="center"/>
    </xf>
    <xf numFmtId="3" fontId="14" fillId="7" borderId="32" xfId="0" applyNumberFormat="1" applyFont="1" applyFill="1" applyBorder="1" applyAlignment="1">
      <alignment horizontal="center"/>
    </xf>
    <xf numFmtId="165" fontId="1" fillId="7" borderId="14" xfId="0" applyFont="1" applyFill="1" applyBorder="1" applyAlignment="1">
      <alignment horizontal="center" vertical="center" wrapText="1"/>
    </xf>
    <xf numFmtId="165" fontId="14" fillId="5" borderId="34" xfId="0" applyFont="1" applyFill="1" applyBorder="1" applyAlignment="1"/>
    <xf numFmtId="3" fontId="14" fillId="9" borderId="23" xfId="0" applyNumberFormat="1" applyFont="1" applyFill="1" applyBorder="1" applyAlignment="1">
      <alignment horizontal="center"/>
    </xf>
    <xf numFmtId="168" fontId="48" fillId="5" borderId="28" xfId="0" applyNumberFormat="1" applyFont="1" applyFill="1" applyBorder="1"/>
    <xf numFmtId="3" fontId="48" fillId="5" borderId="41" xfId="0" applyNumberFormat="1" applyFont="1" applyFill="1" applyBorder="1" applyAlignment="1">
      <alignment horizontal="center"/>
    </xf>
    <xf numFmtId="4" fontId="48" fillId="5" borderId="28" xfId="0" applyNumberFormat="1" applyFont="1" applyFill="1" applyBorder="1" applyAlignment="1">
      <alignment horizontal="left"/>
    </xf>
    <xf numFmtId="11" fontId="41" fillId="5" borderId="28" xfId="0" applyNumberFormat="1" applyFont="1" applyFill="1" applyBorder="1" applyAlignment="1">
      <alignment horizontal="left"/>
    </xf>
    <xf numFmtId="3" fontId="41" fillId="5" borderId="28" xfId="0" applyNumberFormat="1" applyFont="1" applyFill="1" applyBorder="1" applyAlignment="1">
      <alignment horizontal="left"/>
    </xf>
    <xf numFmtId="168" fontId="48" fillId="5" borderId="36" xfId="0" applyNumberFormat="1" applyFont="1" applyFill="1" applyBorder="1"/>
    <xf numFmtId="3" fontId="48" fillId="5" borderId="43" xfId="0" applyNumberFormat="1" applyFont="1" applyFill="1" applyBorder="1" applyAlignment="1">
      <alignment horizontal="center"/>
    </xf>
    <xf numFmtId="165" fontId="0" fillId="12" borderId="0" xfId="0" applyFill="1" applyAlignment="1"/>
    <xf numFmtId="165" fontId="0" fillId="32" borderId="0" xfId="0" applyFill="1"/>
    <xf numFmtId="165" fontId="0" fillId="32" borderId="0" xfId="0" applyFill="1" applyAlignment="1">
      <alignment horizontal="center"/>
    </xf>
    <xf numFmtId="165" fontId="1" fillId="0" borderId="0" xfId="0" applyFont="1"/>
    <xf numFmtId="165" fontId="0" fillId="0" borderId="0" xfId="0" applyAlignment="1">
      <alignment horizontal="center"/>
    </xf>
    <xf numFmtId="165" fontId="11" fillId="32" borderId="0" xfId="0" applyFont="1" applyFill="1"/>
    <xf numFmtId="165" fontId="0" fillId="4" borderId="0" xfId="0" applyFill="1" applyBorder="1"/>
    <xf numFmtId="165" fontId="0" fillId="5" borderId="0" xfId="0" applyFill="1" applyBorder="1" applyAlignment="1">
      <alignment horizontal="center"/>
    </xf>
    <xf numFmtId="165" fontId="3" fillId="4" borderId="0" xfId="0" applyFont="1" applyFill="1" applyBorder="1" applyAlignment="1">
      <alignment horizontal="center" vertical="center"/>
    </xf>
    <xf numFmtId="165" fontId="1" fillId="6" borderId="0" xfId="0" applyFont="1" applyFill="1" applyBorder="1" applyAlignment="1">
      <alignment horizontal="center"/>
    </xf>
    <xf numFmtId="165" fontId="14" fillId="13" borderId="0" xfId="0" applyFont="1" applyFill="1" applyBorder="1" applyAlignment="1">
      <alignment horizontal="center"/>
    </xf>
    <xf numFmtId="3" fontId="14" fillId="7" borderId="32" xfId="0" applyNumberFormat="1" applyFont="1" applyFill="1" applyBorder="1" applyAlignment="1">
      <alignment horizontal="center"/>
    </xf>
    <xf numFmtId="165" fontId="1" fillId="7" borderId="14" xfId="0" applyFont="1" applyFill="1" applyBorder="1" applyAlignment="1">
      <alignment horizontal="center" vertical="center" wrapText="1"/>
    </xf>
    <xf numFmtId="165" fontId="14" fillId="9" borderId="46" xfId="0" applyFont="1" applyFill="1" applyBorder="1" applyAlignment="1">
      <alignment horizontal="right"/>
    </xf>
    <xf numFmtId="165" fontId="14" fillId="9" borderId="47" xfId="0" applyFont="1" applyFill="1" applyBorder="1" applyAlignment="1">
      <alignment horizontal="right"/>
    </xf>
    <xf numFmtId="165" fontId="14" fillId="5" borderId="0" xfId="0" applyFont="1" applyFill="1" applyBorder="1" applyAlignment="1">
      <alignment horizontal="right"/>
    </xf>
    <xf numFmtId="1" fontId="0" fillId="5" borderId="0" xfId="0" applyNumberFormat="1" applyFill="1" applyBorder="1" applyAlignment="1">
      <alignment horizontal="center"/>
    </xf>
    <xf numFmtId="170" fontId="0" fillId="5" borderId="0" xfId="0" applyNumberFormat="1" applyFill="1" applyBorder="1" applyAlignment="1">
      <alignment horizontal="center"/>
    </xf>
    <xf numFmtId="165" fontId="1" fillId="5" borderId="0" xfId="0" applyFont="1" applyFill="1" applyBorder="1" applyAlignment="1">
      <alignment horizontal="center" wrapText="1"/>
    </xf>
    <xf numFmtId="165" fontId="0" fillId="4" borderId="0" xfId="0" applyFill="1" applyBorder="1"/>
    <xf numFmtId="165" fontId="0" fillId="5" borderId="0" xfId="0" applyFill="1" applyBorder="1" applyAlignment="1">
      <alignment horizontal="center"/>
    </xf>
    <xf numFmtId="165" fontId="3" fillId="4" borderId="0" xfId="0" applyFont="1" applyFill="1" applyBorder="1" applyAlignment="1">
      <alignment horizontal="center" vertical="center"/>
    </xf>
    <xf numFmtId="165" fontId="14" fillId="7" borderId="10" xfId="0" applyFont="1" applyFill="1" applyBorder="1" applyAlignment="1">
      <alignment horizontal="center"/>
    </xf>
    <xf numFmtId="165" fontId="37" fillId="13" borderId="0" xfId="0" applyFont="1" applyFill="1" applyBorder="1" applyAlignment="1">
      <alignment horizontal="center"/>
    </xf>
    <xf numFmtId="165" fontId="14" fillId="5" borderId="0" xfId="0" applyFont="1" applyFill="1" applyBorder="1" applyAlignment="1">
      <alignment horizontal="right"/>
    </xf>
    <xf numFmtId="1" fontId="0" fillId="5" borderId="0" xfId="0" applyNumberFormat="1" applyFill="1" applyBorder="1" applyAlignment="1">
      <alignment horizontal="center"/>
    </xf>
    <xf numFmtId="165" fontId="68" fillId="13" borderId="71" xfId="0" applyFont="1" applyFill="1" applyBorder="1" applyAlignment="1">
      <alignment horizontal="center" vertical="center"/>
    </xf>
    <xf numFmtId="165" fontId="68" fillId="13" borderId="72" xfId="0" applyFont="1" applyFill="1" applyBorder="1" applyAlignment="1">
      <alignment horizontal="center" vertical="center"/>
    </xf>
    <xf numFmtId="165" fontId="68" fillId="13" borderId="73" xfId="0" applyFont="1" applyFill="1" applyBorder="1" applyAlignment="1">
      <alignment horizontal="center" vertical="center"/>
    </xf>
    <xf numFmtId="165" fontId="68" fillId="13" borderId="33" xfId="0" applyFont="1" applyFill="1" applyBorder="1" applyAlignment="1">
      <alignment horizontal="center" vertical="center"/>
    </xf>
    <xf numFmtId="165" fontId="68" fillId="13" borderId="34" xfId="0" applyFont="1" applyFill="1" applyBorder="1" applyAlignment="1">
      <alignment horizontal="center" vertical="center"/>
    </xf>
    <xf numFmtId="165" fontId="68" fillId="13" borderId="35" xfId="0" applyFont="1" applyFill="1" applyBorder="1" applyAlignment="1">
      <alignment horizontal="center" vertical="center"/>
    </xf>
    <xf numFmtId="165" fontId="70" fillId="24" borderId="33" xfId="0" applyFont="1" applyFill="1" applyBorder="1" applyAlignment="1">
      <alignment horizontal="center"/>
    </xf>
    <xf numFmtId="165" fontId="70" fillId="24" borderId="34" xfId="0" applyFont="1" applyFill="1" applyBorder="1" applyAlignment="1">
      <alignment horizontal="center"/>
    </xf>
    <xf numFmtId="165" fontId="70" fillId="24" borderId="35" xfId="0" applyFont="1" applyFill="1" applyBorder="1" applyAlignment="1">
      <alignment horizontal="center"/>
    </xf>
    <xf numFmtId="165" fontId="68" fillId="21" borderId="33" xfId="0" applyFont="1" applyFill="1" applyBorder="1" applyAlignment="1">
      <alignment horizontal="center"/>
    </xf>
    <xf numFmtId="165" fontId="68" fillId="21" borderId="34" xfId="0" applyFont="1" applyFill="1" applyBorder="1" applyAlignment="1">
      <alignment horizontal="center"/>
    </xf>
    <xf numFmtId="165" fontId="68" fillId="21" borderId="35" xfId="0" applyFont="1" applyFill="1" applyBorder="1" applyAlignment="1">
      <alignment horizontal="center"/>
    </xf>
    <xf numFmtId="165" fontId="69" fillId="18" borderId="33" xfId="0" applyFont="1" applyFill="1" applyBorder="1" applyAlignment="1">
      <alignment horizontal="center"/>
    </xf>
    <xf numFmtId="165" fontId="69" fillId="18" borderId="34" xfId="0" applyFont="1" applyFill="1" applyBorder="1" applyAlignment="1">
      <alignment horizontal="center"/>
    </xf>
    <xf numFmtId="165" fontId="69" fillId="18" borderId="35" xfId="0" applyFont="1" applyFill="1" applyBorder="1" applyAlignment="1">
      <alignment horizontal="center"/>
    </xf>
    <xf numFmtId="165" fontId="0" fillId="14" borderId="13" xfId="0" applyFont="1" applyFill="1" applyBorder="1" applyAlignment="1">
      <alignment horizontal="center" textRotation="90"/>
    </xf>
    <xf numFmtId="165" fontId="0" fillId="14" borderId="15" xfId="0" applyFont="1" applyFill="1" applyBorder="1" applyAlignment="1">
      <alignment horizontal="center" textRotation="90"/>
    </xf>
    <xf numFmtId="165" fontId="0" fillId="14" borderId="24" xfId="0" applyFont="1" applyFill="1" applyBorder="1" applyAlignment="1">
      <alignment horizontal="center" textRotation="90"/>
    </xf>
    <xf numFmtId="165" fontId="84" fillId="14" borderId="0" xfId="0" applyFont="1" applyFill="1" applyAlignment="1">
      <alignment horizontal="center" vertical="center"/>
    </xf>
    <xf numFmtId="165" fontId="4" fillId="29" borderId="0" xfId="0" applyFont="1" applyFill="1" applyBorder="1" applyAlignment="1">
      <alignment horizontal="center" vertical="center"/>
    </xf>
    <xf numFmtId="165" fontId="4" fillId="30" borderId="0" xfId="0" applyFont="1" applyFill="1" applyBorder="1" applyAlignment="1">
      <alignment horizontal="center" vertical="center"/>
    </xf>
    <xf numFmtId="165" fontId="4" fillId="27" borderId="0" xfId="0" applyFont="1" applyFill="1" applyBorder="1" applyAlignment="1">
      <alignment horizontal="center" vertical="center"/>
    </xf>
    <xf numFmtId="165" fontId="4" fillId="9" borderId="0" xfId="0" applyFont="1" applyFill="1" applyBorder="1" applyAlignment="1">
      <alignment horizontal="center" vertical="center"/>
    </xf>
    <xf numFmtId="165" fontId="40" fillId="4" borderId="0" xfId="0" applyFont="1" applyFill="1" applyBorder="1" applyAlignment="1">
      <alignment horizontal="center"/>
    </xf>
    <xf numFmtId="165" fontId="37" fillId="5" borderId="0" xfId="0" applyFont="1" applyFill="1" applyBorder="1" applyAlignment="1">
      <alignment horizontal="center" textRotation="90" wrapText="1"/>
    </xf>
    <xf numFmtId="165" fontId="37" fillId="5" borderId="30" xfId="0" applyFont="1" applyFill="1" applyBorder="1" applyAlignment="1">
      <alignment horizontal="center" textRotation="90" wrapText="1"/>
    </xf>
    <xf numFmtId="165" fontId="1" fillId="5" borderId="0" xfId="0" applyFont="1" applyFill="1" applyBorder="1" applyAlignment="1">
      <alignment horizontal="center" vertical="center" wrapText="1"/>
    </xf>
    <xf numFmtId="165" fontId="1" fillId="5" borderId="30" xfId="0" applyFont="1" applyFill="1" applyBorder="1" applyAlignment="1">
      <alignment horizontal="center" vertical="center" wrapText="1"/>
    </xf>
    <xf numFmtId="165" fontId="90" fillId="32" borderId="0" xfId="0" applyFont="1" applyFill="1" applyBorder="1" applyAlignment="1">
      <alignment horizontal="center" wrapText="1"/>
    </xf>
    <xf numFmtId="165" fontId="90" fillId="32" borderId="30" xfId="0" applyFont="1" applyFill="1" applyBorder="1" applyAlignment="1">
      <alignment horizontal="center" wrapText="1"/>
    </xf>
    <xf numFmtId="3" fontId="29" fillId="5" borderId="0" xfId="0" applyNumberFormat="1" applyFont="1" applyFill="1" applyBorder="1" applyAlignment="1">
      <alignment horizontal="center" vertical="center"/>
    </xf>
    <xf numFmtId="3" fontId="29" fillId="5" borderId="21" xfId="0" applyNumberFormat="1" applyFont="1" applyFill="1" applyBorder="1" applyAlignment="1">
      <alignment horizontal="center" vertical="center"/>
    </xf>
    <xf numFmtId="3" fontId="29" fillId="5" borderId="26" xfId="0" applyNumberFormat="1" applyFont="1" applyFill="1" applyBorder="1" applyAlignment="1">
      <alignment horizontal="center" vertical="center"/>
    </xf>
    <xf numFmtId="3" fontId="0" fillId="5" borderId="0" xfId="0" applyNumberFormat="1" applyFont="1" applyFill="1" applyBorder="1" applyAlignment="1">
      <alignment horizontal="center" vertical="center"/>
    </xf>
    <xf numFmtId="3" fontId="0" fillId="5" borderId="21" xfId="0" applyNumberFormat="1" applyFont="1" applyFill="1" applyBorder="1" applyAlignment="1">
      <alignment horizontal="center" vertical="center"/>
    </xf>
    <xf numFmtId="165" fontId="11" fillId="5" borderId="0" xfId="0" applyFont="1" applyFill="1" applyBorder="1" applyAlignment="1">
      <alignment horizontal="left" vertical="center"/>
    </xf>
    <xf numFmtId="165" fontId="11" fillId="5" borderId="21" xfId="0" applyFont="1" applyFill="1" applyBorder="1" applyAlignment="1">
      <alignment horizontal="left" vertical="center"/>
    </xf>
    <xf numFmtId="165" fontId="29" fillId="5" borderId="0" xfId="0" applyNumberFormat="1" applyFont="1" applyFill="1" applyBorder="1" applyAlignment="1">
      <alignment horizontal="center" vertical="center"/>
    </xf>
    <xf numFmtId="165" fontId="29" fillId="5" borderId="21" xfId="0" applyNumberFormat="1" applyFont="1" applyFill="1" applyBorder="1" applyAlignment="1">
      <alignment horizontal="center" vertical="center"/>
    </xf>
    <xf numFmtId="165" fontId="29" fillId="5" borderId="26" xfId="0" applyFont="1" applyFill="1" applyBorder="1" applyAlignment="1">
      <alignment horizontal="center" vertical="center" wrapText="1"/>
    </xf>
    <xf numFmtId="165" fontId="29" fillId="5" borderId="0" xfId="0" applyFont="1" applyFill="1" applyBorder="1" applyAlignment="1">
      <alignment horizontal="center" vertical="center" wrapText="1"/>
    </xf>
    <xf numFmtId="165" fontId="29" fillId="5" borderId="21" xfId="0" applyFont="1" applyFill="1" applyBorder="1" applyAlignment="1">
      <alignment horizontal="center" vertical="center" wrapText="1"/>
    </xf>
    <xf numFmtId="3" fontId="0" fillId="5" borderId="26" xfId="0" applyNumberFormat="1" applyFont="1" applyFill="1" applyBorder="1" applyAlignment="1">
      <alignment horizontal="center" vertical="center"/>
    </xf>
    <xf numFmtId="165" fontId="11" fillId="5" borderId="26" xfId="0" applyFont="1" applyFill="1" applyBorder="1" applyAlignment="1">
      <alignment horizontal="left" vertical="center"/>
    </xf>
    <xf numFmtId="165" fontId="16" fillId="5" borderId="26" xfId="0" applyFont="1" applyFill="1" applyBorder="1" applyAlignment="1">
      <alignment horizontal="center" vertical="center" wrapText="1"/>
    </xf>
    <xf numFmtId="165" fontId="16" fillId="5" borderId="0" xfId="0" applyFont="1" applyFill="1" applyBorder="1" applyAlignment="1">
      <alignment horizontal="center" vertical="center" wrapText="1"/>
    </xf>
    <xf numFmtId="165" fontId="37" fillId="5" borderId="26" xfId="0" applyFont="1" applyFill="1" applyBorder="1" applyAlignment="1">
      <alignment horizontal="center" textRotation="90" wrapText="1"/>
    </xf>
    <xf numFmtId="165" fontId="1" fillId="5" borderId="0" xfId="0" applyFont="1" applyFill="1" applyBorder="1" applyAlignment="1">
      <alignment horizontal="center" wrapText="1"/>
    </xf>
    <xf numFmtId="165" fontId="25" fillId="5" borderId="0" xfId="0" applyFont="1" applyFill="1" applyBorder="1" applyAlignment="1">
      <alignment horizontal="center"/>
    </xf>
    <xf numFmtId="3" fontId="29" fillId="5" borderId="22" xfId="0" applyNumberFormat="1" applyFont="1" applyFill="1" applyBorder="1" applyAlignment="1">
      <alignment horizontal="center" vertical="center"/>
    </xf>
    <xf numFmtId="3" fontId="29" fillId="5" borderId="30" xfId="0" applyNumberFormat="1" applyFont="1" applyFill="1" applyBorder="1" applyAlignment="1">
      <alignment horizontal="center" vertical="center"/>
    </xf>
    <xf numFmtId="165" fontId="32" fillId="5" borderId="0" xfId="0" applyFont="1" applyFill="1" applyBorder="1" applyAlignment="1">
      <alignment horizontal="right" vertical="center"/>
    </xf>
    <xf numFmtId="165" fontId="32" fillId="5" borderId="22" xfId="0" applyFont="1" applyFill="1" applyBorder="1" applyAlignment="1">
      <alignment horizontal="right" vertical="center"/>
    </xf>
    <xf numFmtId="3" fontId="0" fillId="5" borderId="22" xfId="0" applyNumberFormat="1" applyFont="1" applyFill="1" applyBorder="1" applyAlignment="1">
      <alignment horizontal="center" vertical="center"/>
    </xf>
    <xf numFmtId="3" fontId="0" fillId="5" borderId="30" xfId="0" applyNumberFormat="1" applyFont="1" applyFill="1" applyBorder="1" applyAlignment="1">
      <alignment horizontal="center" vertical="center"/>
    </xf>
    <xf numFmtId="165" fontId="11" fillId="5" borderId="22" xfId="0" applyFont="1" applyFill="1" applyBorder="1" applyAlignment="1">
      <alignment horizontal="left" vertical="center"/>
    </xf>
    <xf numFmtId="165" fontId="11" fillId="5" borderId="30" xfId="0" applyFont="1" applyFill="1" applyBorder="1" applyAlignment="1">
      <alignment horizontal="left" vertical="center"/>
    </xf>
    <xf numFmtId="165" fontId="29" fillId="5" borderId="22" xfId="0" applyNumberFormat="1" applyFont="1" applyFill="1" applyBorder="1" applyAlignment="1">
      <alignment horizontal="center" vertical="center" wrapText="1"/>
    </xf>
    <xf numFmtId="165" fontId="29" fillId="5" borderId="0" xfId="0" applyNumberFormat="1" applyFont="1" applyFill="1" applyBorder="1" applyAlignment="1">
      <alignment horizontal="center" vertical="center" wrapText="1"/>
    </xf>
    <xf numFmtId="165" fontId="29" fillId="5" borderId="30" xfId="0" applyNumberFormat="1" applyFont="1" applyFill="1" applyBorder="1" applyAlignment="1">
      <alignment horizontal="center" vertical="center" wrapText="1"/>
    </xf>
    <xf numFmtId="165" fontId="29" fillId="5" borderId="22" xfId="0" applyFont="1" applyFill="1" applyBorder="1" applyAlignment="1">
      <alignment horizontal="center" vertical="center" wrapText="1"/>
    </xf>
    <xf numFmtId="165" fontId="29" fillId="5" borderId="30" xfId="0" applyFont="1" applyFill="1" applyBorder="1" applyAlignment="1">
      <alignment horizontal="center" vertical="center" wrapText="1"/>
    </xf>
    <xf numFmtId="165" fontId="29" fillId="5" borderId="22" xfId="0" applyFont="1" applyFill="1" applyBorder="1" applyAlignment="1">
      <alignment horizontal="center" vertical="center"/>
    </xf>
    <xf numFmtId="165" fontId="29" fillId="5" borderId="0" xfId="0" applyFont="1" applyFill="1" applyBorder="1" applyAlignment="1">
      <alignment horizontal="center" vertical="center"/>
    </xf>
    <xf numFmtId="165" fontId="29" fillId="5" borderId="30" xfId="0" applyFont="1" applyFill="1" applyBorder="1" applyAlignment="1">
      <alignment horizontal="center" vertical="center"/>
    </xf>
    <xf numFmtId="165" fontId="4" fillId="4" borderId="0" xfId="0" applyFont="1" applyFill="1" applyAlignment="1">
      <alignment horizontal="right"/>
    </xf>
    <xf numFmtId="0" fontId="17" fillId="5" borderId="0" xfId="0" applyNumberFormat="1" applyFont="1" applyFill="1" applyAlignment="1">
      <alignment horizontal="center"/>
    </xf>
    <xf numFmtId="165" fontId="17" fillId="4" borderId="0" xfId="0" applyFont="1" applyFill="1" applyBorder="1" applyAlignment="1">
      <alignment horizontal="center"/>
    </xf>
    <xf numFmtId="165" fontId="9" fillId="5" borderId="0" xfId="0" applyFont="1" applyFill="1" applyAlignment="1">
      <alignment horizontal="left"/>
    </xf>
    <xf numFmtId="14" fontId="17" fillId="5" borderId="0" xfId="0" applyNumberFormat="1" applyFont="1" applyFill="1" applyAlignment="1">
      <alignment horizontal="center"/>
    </xf>
    <xf numFmtId="165" fontId="4" fillId="4" borderId="0" xfId="0" applyFont="1" applyFill="1" applyBorder="1" applyAlignment="1">
      <alignment horizontal="right"/>
    </xf>
    <xf numFmtId="165" fontId="9" fillId="4" borderId="0" xfId="0" applyFont="1" applyFill="1" applyBorder="1" applyAlignment="1">
      <alignment horizontal="left"/>
    </xf>
    <xf numFmtId="14" fontId="9" fillId="4" borderId="0" xfId="0" applyNumberFormat="1" applyFont="1" applyFill="1" applyBorder="1" applyAlignment="1">
      <alignment horizontal="left"/>
    </xf>
    <xf numFmtId="165" fontId="49" fillId="5" borderId="0" xfId="0" applyFont="1" applyFill="1" applyAlignment="1">
      <alignment horizontal="center" vertical="center"/>
    </xf>
    <xf numFmtId="165" fontId="0" fillId="4" borderId="0" xfId="0" applyFill="1" applyBorder="1" applyAlignment="1">
      <alignment horizontal="center"/>
    </xf>
    <xf numFmtId="165" fontId="0" fillId="4" borderId="0" xfId="0" applyFill="1" applyBorder="1"/>
    <xf numFmtId="165" fontId="3" fillId="4" borderId="0" xfId="0" applyFont="1" applyFill="1" applyBorder="1" applyAlignment="1">
      <alignment horizontal="center" vertical="top" wrapText="1"/>
    </xf>
    <xf numFmtId="165" fontId="3" fillId="4" borderId="0" xfId="0" applyFont="1" applyFill="1" applyBorder="1" applyAlignment="1">
      <alignment horizontal="center" vertical="top"/>
    </xf>
    <xf numFmtId="165" fontId="2" fillId="4" borderId="0" xfId="0" applyFont="1" applyFill="1" applyBorder="1" applyAlignment="1">
      <alignment horizontal="left" vertical="center"/>
    </xf>
    <xf numFmtId="165" fontId="0" fillId="5" borderId="0" xfId="0" applyFill="1" applyBorder="1" applyAlignment="1">
      <alignment horizontal="center" vertical="center"/>
    </xf>
    <xf numFmtId="165" fontId="0" fillId="5" borderId="0" xfId="0" applyFill="1" applyBorder="1" applyAlignment="1">
      <alignment horizontal="center"/>
    </xf>
    <xf numFmtId="165" fontId="51" fillId="4" borderId="0" xfId="0" applyFont="1" applyFill="1" applyBorder="1" applyAlignment="1">
      <alignment horizontal="left"/>
    </xf>
    <xf numFmtId="165" fontId="67" fillId="4" borderId="60" xfId="0" applyFont="1" applyFill="1" applyBorder="1" applyAlignment="1">
      <alignment horizontal="center" vertical="center" wrapText="1"/>
    </xf>
    <xf numFmtId="165" fontId="67" fillId="4" borderId="61" xfId="0" applyFont="1" applyFill="1" applyBorder="1" applyAlignment="1">
      <alignment horizontal="center" vertical="center" wrapText="1"/>
    </xf>
    <xf numFmtId="165" fontId="67" fillId="4" borderId="62" xfId="0" applyFont="1" applyFill="1" applyBorder="1" applyAlignment="1">
      <alignment horizontal="center" vertical="center" wrapText="1"/>
    </xf>
    <xf numFmtId="165" fontId="67" fillId="4" borderId="63" xfId="0" applyFont="1" applyFill="1" applyBorder="1" applyAlignment="1">
      <alignment horizontal="center" vertical="center" wrapText="1"/>
    </xf>
    <xf numFmtId="165" fontId="67" fillId="4" borderId="0" xfId="0" applyFont="1" applyFill="1" applyBorder="1" applyAlignment="1">
      <alignment horizontal="center" vertical="center" wrapText="1"/>
    </xf>
    <xf numFmtId="165" fontId="67" fillId="4" borderId="64" xfId="0" applyFont="1" applyFill="1" applyBorder="1" applyAlignment="1">
      <alignment horizontal="center" vertical="center" wrapText="1"/>
    </xf>
    <xf numFmtId="165" fontId="67" fillId="4" borderId="65" xfId="0" applyFont="1" applyFill="1" applyBorder="1" applyAlignment="1">
      <alignment horizontal="center" vertical="center" wrapText="1"/>
    </xf>
    <xf numFmtId="165" fontId="67" fillId="4" borderId="66" xfId="0" applyFont="1" applyFill="1" applyBorder="1" applyAlignment="1">
      <alignment horizontal="center" vertical="center" wrapText="1"/>
    </xf>
    <xf numFmtId="165" fontId="67" fillId="4" borderId="67" xfId="0" applyFont="1" applyFill="1" applyBorder="1" applyAlignment="1">
      <alignment horizontal="center" vertical="center" wrapText="1"/>
    </xf>
    <xf numFmtId="165" fontId="0" fillId="4" borderId="7" xfId="0" applyFill="1" applyBorder="1" applyAlignment="1">
      <alignment horizontal="center"/>
    </xf>
    <xf numFmtId="165" fontId="50" fillId="4" borderId="0" xfId="0" applyFont="1" applyFill="1" applyBorder="1" applyAlignment="1">
      <alignment horizontal="center"/>
    </xf>
    <xf numFmtId="165" fontId="0" fillId="4" borderId="1" xfId="0" applyFill="1" applyBorder="1" applyAlignment="1">
      <alignment horizontal="center"/>
    </xf>
    <xf numFmtId="165" fontId="0" fillId="4" borderId="3" xfId="0" applyFill="1" applyBorder="1" applyAlignment="1">
      <alignment horizontal="center"/>
    </xf>
    <xf numFmtId="165" fontId="0" fillId="4" borderId="4" xfId="0" applyFill="1" applyBorder="1" applyAlignment="1">
      <alignment horizontal="center"/>
    </xf>
    <xf numFmtId="165" fontId="0" fillId="4" borderId="5" xfId="0" applyFill="1" applyBorder="1" applyAlignment="1">
      <alignment horizontal="center"/>
    </xf>
    <xf numFmtId="165" fontId="0" fillId="4" borderId="6" xfId="0" applyFill="1" applyBorder="1" applyAlignment="1">
      <alignment horizontal="center"/>
    </xf>
    <xf numFmtId="165" fontId="0" fillId="4" borderId="8" xfId="0" applyFill="1" applyBorder="1" applyAlignment="1">
      <alignment horizontal="center"/>
    </xf>
    <xf numFmtId="165" fontId="51" fillId="4" borderId="2" xfId="0" applyFont="1" applyFill="1" applyBorder="1" applyAlignment="1">
      <alignment horizontal="center" vertical="top"/>
    </xf>
    <xf numFmtId="165" fontId="4" fillId="4" borderId="2" xfId="0" applyFont="1" applyFill="1" applyBorder="1" applyAlignment="1">
      <alignment horizontal="center" vertical="top"/>
    </xf>
    <xf numFmtId="165" fontId="40" fillId="4" borderId="2" xfId="0" applyFont="1" applyFill="1" applyBorder="1" applyAlignment="1">
      <alignment horizontal="center" vertical="top"/>
    </xf>
    <xf numFmtId="165" fontId="40" fillId="4" borderId="7" xfId="0" applyFont="1" applyFill="1" applyBorder="1" applyAlignment="1">
      <alignment horizontal="center" vertical="top"/>
    </xf>
    <xf numFmtId="165" fontId="40" fillId="4" borderId="2" xfId="0" applyFont="1" applyFill="1" applyBorder="1" applyAlignment="1">
      <alignment horizontal="center" vertical="center" wrapText="1"/>
    </xf>
    <xf numFmtId="165" fontId="40" fillId="4" borderId="7" xfId="0" applyFont="1" applyFill="1" applyBorder="1" applyAlignment="1">
      <alignment horizontal="center" vertical="center" wrapText="1"/>
    </xf>
    <xf numFmtId="165" fontId="51" fillId="4" borderId="7" xfId="0" applyFont="1" applyFill="1" applyBorder="1" applyAlignment="1">
      <alignment horizontal="center" vertical="top"/>
    </xf>
    <xf numFmtId="165" fontId="0" fillId="5" borderId="1" xfId="0" applyFill="1" applyBorder="1" applyAlignment="1">
      <alignment horizontal="center"/>
    </xf>
    <xf numFmtId="165" fontId="0" fillId="5" borderId="3" xfId="0" applyFill="1" applyBorder="1" applyAlignment="1">
      <alignment horizontal="center"/>
    </xf>
    <xf numFmtId="165" fontId="0" fillId="5" borderId="4" xfId="0" applyFill="1" applyBorder="1" applyAlignment="1">
      <alignment horizontal="center"/>
    </xf>
    <xf numFmtId="165" fontId="0" fillId="5" borderId="5" xfId="0" applyFill="1" applyBorder="1" applyAlignment="1">
      <alignment horizontal="center"/>
    </xf>
    <xf numFmtId="165" fontId="0" fillId="5" borderId="6" xfId="0" applyFill="1" applyBorder="1" applyAlignment="1">
      <alignment horizontal="center"/>
    </xf>
    <xf numFmtId="165" fontId="0" fillId="5" borderId="8" xfId="0" applyFill="1" applyBorder="1" applyAlignment="1">
      <alignment horizontal="center"/>
    </xf>
    <xf numFmtId="165" fontId="51" fillId="5" borderId="2" xfId="0" applyFont="1" applyFill="1" applyBorder="1" applyAlignment="1">
      <alignment horizontal="center" vertical="center" wrapText="1"/>
    </xf>
    <xf numFmtId="165" fontId="51" fillId="5" borderId="7" xfId="0" applyFont="1" applyFill="1" applyBorder="1" applyAlignment="1">
      <alignment horizontal="center" vertical="center" wrapText="1"/>
    </xf>
    <xf numFmtId="165" fontId="78" fillId="4" borderId="2" xfId="0" applyFont="1" applyFill="1" applyBorder="1" applyAlignment="1">
      <alignment horizontal="center" vertical="center" wrapText="1"/>
    </xf>
    <xf numFmtId="165" fontId="54" fillId="0" borderId="2" xfId="0" applyFont="1" applyBorder="1" applyAlignment="1">
      <alignment horizontal="center" vertical="center" wrapText="1"/>
    </xf>
    <xf numFmtId="165" fontId="54" fillId="0" borderId="7" xfId="0" applyFont="1" applyBorder="1" applyAlignment="1">
      <alignment horizontal="center" vertical="center" wrapText="1"/>
    </xf>
    <xf numFmtId="165" fontId="3" fillId="4" borderId="0" xfId="0" applyFont="1" applyFill="1" applyBorder="1" applyAlignment="1">
      <alignment horizontal="left" vertical="center"/>
    </xf>
    <xf numFmtId="165" fontId="65" fillId="8" borderId="0" xfId="0" applyFont="1" applyFill="1" applyBorder="1" applyAlignment="1">
      <alignment horizontal="left" vertical="top"/>
    </xf>
    <xf numFmtId="165" fontId="9" fillId="4" borderId="0" xfId="0" applyFont="1" applyFill="1" applyAlignment="1">
      <alignment horizontal="left"/>
    </xf>
    <xf numFmtId="0" fontId="17" fillId="4" borderId="0" xfId="0" applyNumberFormat="1" applyFont="1" applyFill="1" applyAlignment="1">
      <alignment horizontal="center"/>
    </xf>
    <xf numFmtId="165" fontId="3" fillId="4" borderId="0" xfId="0" applyFont="1" applyFill="1" applyBorder="1" applyAlignment="1">
      <alignment horizontal="center" vertical="center"/>
    </xf>
    <xf numFmtId="165" fontId="9" fillId="5" borderId="0" xfId="0" applyFont="1" applyFill="1" applyBorder="1" applyAlignment="1">
      <alignment horizontal="center" vertical="top"/>
    </xf>
    <xf numFmtId="165" fontId="3" fillId="4" borderId="0" xfId="0" applyFont="1" applyFill="1" applyBorder="1" applyAlignment="1">
      <alignment horizontal="right" vertical="center"/>
    </xf>
    <xf numFmtId="165" fontId="9" fillId="4" borderId="0" xfId="0" applyFont="1" applyFill="1" applyBorder="1" applyAlignment="1">
      <alignment horizontal="right" vertical="center"/>
    </xf>
    <xf numFmtId="3" fontId="9" fillId="4" borderId="0" xfId="0" applyNumberFormat="1" applyFont="1" applyFill="1" applyBorder="1" applyAlignment="1">
      <alignment horizontal="right" vertical="center"/>
    </xf>
    <xf numFmtId="165" fontId="1" fillId="7" borderId="17" xfId="0" applyFont="1" applyFill="1" applyBorder="1" applyAlignment="1">
      <alignment horizontal="center" vertical="center" wrapText="1"/>
    </xf>
    <xf numFmtId="165" fontId="1" fillId="7" borderId="12" xfId="0" applyFont="1" applyFill="1" applyBorder="1" applyAlignment="1">
      <alignment horizontal="center" vertical="center" wrapText="1"/>
    </xf>
    <xf numFmtId="165" fontId="14" fillId="7" borderId="10" xfId="0" applyFont="1" applyFill="1" applyBorder="1" applyAlignment="1">
      <alignment horizontal="center"/>
    </xf>
    <xf numFmtId="165" fontId="45" fillId="9" borderId="33" xfId="0" applyFont="1" applyFill="1" applyBorder="1" applyAlignment="1">
      <alignment horizontal="right"/>
    </xf>
    <xf numFmtId="165" fontId="14" fillId="9" borderId="34" xfId="0" applyFont="1" applyFill="1" applyBorder="1" applyAlignment="1">
      <alignment horizontal="right"/>
    </xf>
    <xf numFmtId="1" fontId="40" fillId="11" borderId="25" xfId="0" applyNumberFormat="1" applyFont="1" applyFill="1" applyBorder="1" applyAlignment="1">
      <alignment horizontal="center"/>
    </xf>
    <xf numFmtId="1" fontId="40" fillId="11" borderId="26" xfId="0" applyNumberFormat="1" applyFont="1" applyFill="1" applyBorder="1" applyAlignment="1">
      <alignment horizontal="center"/>
    </xf>
    <xf numFmtId="1" fontId="40" fillId="11" borderId="27" xfId="0" applyNumberFormat="1" applyFont="1" applyFill="1" applyBorder="1" applyAlignment="1">
      <alignment horizontal="center"/>
    </xf>
    <xf numFmtId="1" fontId="40" fillId="11" borderId="28" xfId="0" applyNumberFormat="1" applyFont="1" applyFill="1" applyBorder="1" applyAlignment="1">
      <alignment horizontal="center"/>
    </xf>
    <xf numFmtId="1" fontId="40" fillId="11" borderId="0" xfId="0" applyNumberFormat="1" applyFont="1" applyFill="1" applyBorder="1" applyAlignment="1">
      <alignment horizontal="center"/>
    </xf>
    <xf numFmtId="1" fontId="40" fillId="11" borderId="29" xfId="0" applyNumberFormat="1" applyFont="1" applyFill="1" applyBorder="1" applyAlignment="1">
      <alignment horizontal="center"/>
    </xf>
    <xf numFmtId="1" fontId="40" fillId="11" borderId="36" xfId="0" applyNumberFormat="1" applyFont="1" applyFill="1" applyBorder="1" applyAlignment="1">
      <alignment horizontal="center"/>
    </xf>
    <xf numFmtId="1" fontId="40" fillId="11" borderId="30" xfId="0" applyNumberFormat="1" applyFont="1" applyFill="1" applyBorder="1" applyAlignment="1">
      <alignment horizontal="center"/>
    </xf>
    <xf numFmtId="1" fontId="40" fillId="11" borderId="31" xfId="0" applyNumberFormat="1" applyFont="1" applyFill="1" applyBorder="1" applyAlignment="1">
      <alignment horizontal="center"/>
    </xf>
    <xf numFmtId="165" fontId="1" fillId="10" borderId="0" xfId="0" applyFont="1" applyFill="1" applyBorder="1" applyAlignment="1">
      <alignment horizontal="center" vertical="center" wrapText="1"/>
    </xf>
    <xf numFmtId="165" fontId="1" fillId="10" borderId="14" xfId="0" applyFont="1" applyFill="1" applyBorder="1" applyAlignment="1">
      <alignment horizontal="center" vertical="center" wrapText="1"/>
    </xf>
    <xf numFmtId="165" fontId="1" fillId="10" borderId="0" xfId="0" applyFont="1" applyFill="1" applyBorder="1" applyAlignment="1">
      <alignment horizontal="right" vertical="center" wrapText="1"/>
    </xf>
    <xf numFmtId="165" fontId="1" fillId="10" borderId="14" xfId="0" applyFont="1" applyFill="1" applyBorder="1" applyAlignment="1">
      <alignment horizontal="right" vertical="center" wrapText="1"/>
    </xf>
    <xf numFmtId="165" fontId="1" fillId="10" borderId="30" xfId="0" applyFont="1" applyFill="1" applyBorder="1" applyAlignment="1">
      <alignment horizontal="right" vertical="center" wrapText="1"/>
    </xf>
    <xf numFmtId="165" fontId="1" fillId="10" borderId="55" xfId="0" applyFont="1" applyFill="1" applyBorder="1" applyAlignment="1">
      <alignment horizontal="right" vertical="center" wrapText="1"/>
    </xf>
    <xf numFmtId="165" fontId="14" fillId="10" borderId="56" xfId="0" applyFont="1" applyFill="1" applyBorder="1" applyAlignment="1">
      <alignment horizontal="right"/>
    </xf>
    <xf numFmtId="165" fontId="14" fillId="10" borderId="57" xfId="0" applyFont="1" applyFill="1" applyBorder="1" applyAlignment="1">
      <alignment horizontal="right"/>
    </xf>
    <xf numFmtId="1" fontId="4" fillId="11" borderId="45" xfId="0" applyNumberFormat="1" applyFont="1" applyFill="1" applyBorder="1" applyAlignment="1">
      <alignment horizontal="center" vertical="center"/>
    </xf>
    <xf numFmtId="1" fontId="4" fillId="11" borderId="0" xfId="0" applyNumberFormat="1" applyFont="1" applyFill="1" applyBorder="1" applyAlignment="1">
      <alignment horizontal="center" vertical="center"/>
    </xf>
    <xf numFmtId="1" fontId="0" fillId="14" borderId="0" xfId="0" applyNumberFormat="1" applyFill="1" applyAlignment="1">
      <alignment horizontal="center"/>
    </xf>
    <xf numFmtId="165" fontId="14" fillId="10" borderId="40" xfId="0" applyFont="1" applyFill="1" applyBorder="1" applyAlignment="1">
      <alignment horizontal="right"/>
    </xf>
    <xf numFmtId="165" fontId="14" fillId="10" borderId="10" xfId="0" applyFont="1" applyFill="1" applyBorder="1" applyAlignment="1">
      <alignment horizontal="right"/>
    </xf>
    <xf numFmtId="165" fontId="14" fillId="10" borderId="42" xfId="0" applyFont="1" applyFill="1" applyBorder="1" applyAlignment="1">
      <alignment horizontal="right"/>
    </xf>
    <xf numFmtId="165" fontId="14" fillId="10" borderId="16" xfId="0" applyFont="1" applyFill="1" applyBorder="1" applyAlignment="1">
      <alignment horizontal="right"/>
    </xf>
    <xf numFmtId="165" fontId="14" fillId="9" borderId="33" xfId="0" applyFont="1" applyFill="1" applyBorder="1" applyAlignment="1">
      <alignment horizontal="right"/>
    </xf>
    <xf numFmtId="165" fontId="37" fillId="13" borderId="0" xfId="0" applyFont="1" applyFill="1" applyBorder="1" applyAlignment="1">
      <alignment horizontal="center"/>
    </xf>
    <xf numFmtId="165" fontId="37" fillId="9" borderId="36" xfId="0" applyFont="1" applyFill="1" applyBorder="1" applyAlignment="1">
      <alignment horizontal="center"/>
    </xf>
    <xf numFmtId="165" fontId="37" fillId="9" borderId="31" xfId="0" applyFont="1" applyFill="1" applyBorder="1" applyAlignment="1">
      <alignment horizontal="center"/>
    </xf>
    <xf numFmtId="165" fontId="37" fillId="9" borderId="33" xfId="0" applyFont="1" applyFill="1" applyBorder="1" applyAlignment="1">
      <alignment horizontal="center"/>
    </xf>
    <xf numFmtId="165" fontId="37" fillId="9" borderId="34" xfId="0" applyFont="1" applyFill="1" applyBorder="1" applyAlignment="1">
      <alignment horizontal="center"/>
    </xf>
    <xf numFmtId="165" fontId="37" fillId="9" borderId="35" xfId="0" applyFont="1" applyFill="1" applyBorder="1" applyAlignment="1">
      <alignment horizontal="center"/>
    </xf>
    <xf numFmtId="165" fontId="9" fillId="5" borderId="0" xfId="0" applyFont="1" applyFill="1" applyBorder="1" applyAlignment="1">
      <alignment horizontal="right" vertical="center"/>
    </xf>
    <xf numFmtId="165" fontId="19" fillId="8" borderId="0" xfId="0" applyFont="1" applyFill="1" applyBorder="1" applyAlignment="1">
      <alignment horizontal="left"/>
    </xf>
    <xf numFmtId="3" fontId="19" fillId="8" borderId="0" xfId="0" applyNumberFormat="1" applyFont="1" applyFill="1" applyBorder="1" applyAlignment="1">
      <alignment horizontal="center" vertical="top"/>
    </xf>
    <xf numFmtId="165" fontId="19" fillId="8" borderId="0" xfId="0" applyFont="1" applyFill="1" applyBorder="1" applyAlignment="1">
      <alignment horizontal="left" vertical="top"/>
    </xf>
    <xf numFmtId="165" fontId="22" fillId="8" borderId="0" xfId="0" applyFont="1" applyFill="1" applyBorder="1" applyAlignment="1">
      <alignment horizontal="center" vertical="center" wrapText="1"/>
    </xf>
    <xf numFmtId="165" fontId="72" fillId="8" borderId="0" xfId="0" applyFont="1" applyFill="1" applyBorder="1" applyAlignment="1">
      <alignment horizontal="left"/>
    </xf>
    <xf numFmtId="165" fontId="72" fillId="8" borderId="0" xfId="0" applyFont="1" applyFill="1" applyBorder="1" applyAlignment="1">
      <alignment horizontal="left" vertical="top"/>
    </xf>
    <xf numFmtId="3" fontId="19" fillId="8" borderId="0" xfId="0" applyNumberFormat="1" applyFont="1" applyFill="1" applyBorder="1" applyAlignment="1">
      <alignment horizontal="center"/>
    </xf>
    <xf numFmtId="165" fontId="1" fillId="6" borderId="0" xfId="0" applyFont="1" applyFill="1" applyBorder="1" applyAlignment="1">
      <alignment horizontal="center"/>
    </xf>
    <xf numFmtId="165" fontId="11" fillId="14" borderId="10" xfId="0" applyFont="1" applyFill="1" applyBorder="1" applyAlignment="1">
      <alignment horizontal="right"/>
    </xf>
    <xf numFmtId="165" fontId="0" fillId="9" borderId="10" xfId="0" applyFont="1" applyFill="1" applyBorder="1" applyAlignment="1">
      <alignment horizontal="center"/>
    </xf>
    <xf numFmtId="165" fontId="0" fillId="5" borderId="0" xfId="0" applyFill="1" applyBorder="1" applyAlignment="1">
      <alignment horizontal="center" wrapText="1"/>
    </xf>
    <xf numFmtId="3" fontId="9" fillId="5" borderId="0" xfId="0" applyNumberFormat="1" applyFont="1" applyFill="1" applyBorder="1" applyAlignment="1">
      <alignment horizontal="right" vertical="center"/>
    </xf>
    <xf numFmtId="165" fontId="21" fillId="8" borderId="0" xfId="0" applyFont="1" applyFill="1" applyBorder="1" applyAlignment="1">
      <alignment horizontal="center" vertical="center"/>
    </xf>
    <xf numFmtId="3" fontId="72" fillId="8" borderId="0" xfId="0" applyNumberFormat="1" applyFont="1" applyFill="1" applyBorder="1" applyAlignment="1">
      <alignment horizontal="center"/>
    </xf>
    <xf numFmtId="3" fontId="72" fillId="8" borderId="0" xfId="0" applyNumberFormat="1" applyFont="1" applyFill="1" applyBorder="1" applyAlignment="1">
      <alignment horizontal="right"/>
    </xf>
    <xf numFmtId="3" fontId="72" fillId="8" borderId="0" xfId="0" applyNumberFormat="1" applyFont="1" applyFill="1" applyBorder="1" applyAlignment="1">
      <alignment horizontal="center" vertical="top"/>
    </xf>
    <xf numFmtId="3" fontId="72" fillId="8" borderId="0" xfId="0" applyNumberFormat="1" applyFont="1" applyFill="1" applyBorder="1" applyAlignment="1">
      <alignment horizontal="right" vertical="top"/>
    </xf>
    <xf numFmtId="165" fontId="27" fillId="8" borderId="0" xfId="0" applyFont="1" applyFill="1" applyBorder="1" applyAlignment="1">
      <alignment horizontal="left" vertical="center" wrapText="1"/>
    </xf>
    <xf numFmtId="165" fontId="0" fillId="0" borderId="0" xfId="0" applyAlignment="1">
      <alignment horizontal="center" wrapText="1"/>
    </xf>
    <xf numFmtId="165" fontId="0" fillId="0" borderId="0" xfId="0" applyAlignment="1">
      <alignment horizontal="center"/>
    </xf>
    <xf numFmtId="165" fontId="83" fillId="10" borderId="40" xfId="0" applyFont="1" applyFill="1" applyBorder="1" applyAlignment="1">
      <alignment horizontal="right"/>
    </xf>
    <xf numFmtId="165" fontId="83" fillId="10" borderId="10" xfId="0" applyFont="1" applyFill="1" applyBorder="1" applyAlignment="1">
      <alignment horizontal="right"/>
    </xf>
    <xf numFmtId="1" fontId="16" fillId="11" borderId="25" xfId="0" applyNumberFormat="1" applyFont="1" applyFill="1" applyBorder="1" applyAlignment="1">
      <alignment horizontal="center"/>
    </xf>
    <xf numFmtId="1" fontId="16" fillId="11" borderId="26" xfId="0" applyNumberFormat="1" applyFont="1" applyFill="1" applyBorder="1" applyAlignment="1">
      <alignment horizontal="center"/>
    </xf>
    <xf numFmtId="1" fontId="16" fillId="11" borderId="27" xfId="0" applyNumberFormat="1" applyFont="1" applyFill="1" applyBorder="1" applyAlignment="1">
      <alignment horizontal="center"/>
    </xf>
    <xf numFmtId="1" fontId="16" fillId="11" borderId="28" xfId="0" applyNumberFormat="1" applyFont="1" applyFill="1" applyBorder="1" applyAlignment="1">
      <alignment horizontal="center"/>
    </xf>
    <xf numFmtId="1" fontId="16" fillId="11" borderId="0" xfId="0" applyNumberFormat="1" applyFont="1" applyFill="1" applyBorder="1" applyAlignment="1">
      <alignment horizontal="center"/>
    </xf>
    <xf numFmtId="1" fontId="16" fillId="11" borderId="29" xfId="0" applyNumberFormat="1" applyFont="1" applyFill="1" applyBorder="1" applyAlignment="1">
      <alignment horizontal="center"/>
    </xf>
    <xf numFmtId="1" fontId="16" fillId="11" borderId="36" xfId="0" applyNumberFormat="1" applyFont="1" applyFill="1" applyBorder="1" applyAlignment="1">
      <alignment horizontal="center"/>
    </xf>
    <xf numFmtId="1" fontId="16" fillId="11" borderId="30" xfId="0" applyNumberFormat="1" applyFont="1" applyFill="1" applyBorder="1" applyAlignment="1">
      <alignment horizontal="center"/>
    </xf>
    <xf numFmtId="1" fontId="16" fillId="11" borderId="31" xfId="0" applyNumberFormat="1" applyFont="1" applyFill="1" applyBorder="1" applyAlignment="1">
      <alignment horizontal="center"/>
    </xf>
    <xf numFmtId="165" fontId="83" fillId="10" borderId="42" xfId="0" applyFont="1" applyFill="1" applyBorder="1" applyAlignment="1">
      <alignment horizontal="right"/>
    </xf>
    <xf numFmtId="165" fontId="79" fillId="10" borderId="0" xfId="0" applyFont="1" applyFill="1" applyBorder="1" applyAlignment="1">
      <alignment horizontal="right" vertical="center" wrapText="1"/>
    </xf>
    <xf numFmtId="165" fontId="79" fillId="10" borderId="14" xfId="0" applyFont="1" applyFill="1" applyBorder="1" applyAlignment="1">
      <alignment horizontal="right" vertical="center" wrapText="1"/>
    </xf>
    <xf numFmtId="165" fontId="79" fillId="10" borderId="30" xfId="0" applyFont="1" applyFill="1" applyBorder="1" applyAlignment="1">
      <alignment horizontal="right" vertical="center" wrapText="1"/>
    </xf>
    <xf numFmtId="165" fontId="79" fillId="10" borderId="55" xfId="0" applyFont="1" applyFill="1" applyBorder="1" applyAlignment="1">
      <alignment horizontal="right" vertical="center" wrapText="1"/>
    </xf>
    <xf numFmtId="165" fontId="83" fillId="10" borderId="33" xfId="0" applyFont="1" applyFill="1" applyBorder="1" applyAlignment="1">
      <alignment horizontal="right"/>
    </xf>
    <xf numFmtId="165" fontId="83" fillId="10" borderId="35" xfId="0" applyFont="1" applyFill="1" applyBorder="1" applyAlignment="1">
      <alignment horizontal="right"/>
    </xf>
    <xf numFmtId="1" fontId="16" fillId="5" borderId="25" xfId="0" applyNumberFormat="1" applyFont="1" applyFill="1" applyBorder="1" applyAlignment="1">
      <alignment horizontal="center"/>
    </xf>
    <xf numFmtId="1" fontId="16" fillId="5" borderId="26" xfId="0" applyNumberFormat="1" applyFont="1" applyFill="1" applyBorder="1" applyAlignment="1">
      <alignment horizontal="center"/>
    </xf>
    <xf numFmtId="1" fontId="16" fillId="5" borderId="27" xfId="0" applyNumberFormat="1" applyFont="1" applyFill="1" applyBorder="1" applyAlignment="1">
      <alignment horizontal="center"/>
    </xf>
    <xf numFmtId="1" fontId="16" fillId="5" borderId="28" xfId="0" applyNumberFormat="1" applyFont="1" applyFill="1" applyBorder="1" applyAlignment="1">
      <alignment horizontal="center"/>
    </xf>
    <xf numFmtId="1" fontId="16" fillId="5" borderId="0" xfId="0" applyNumberFormat="1" applyFont="1" applyFill="1" applyBorder="1" applyAlignment="1">
      <alignment horizontal="center"/>
    </xf>
    <xf numFmtId="1" fontId="16" fillId="5" borderId="29" xfId="0" applyNumberFormat="1" applyFont="1" applyFill="1" applyBorder="1" applyAlignment="1">
      <alignment horizontal="center"/>
    </xf>
    <xf numFmtId="1" fontId="16" fillId="5" borderId="36" xfId="0" applyNumberFormat="1" applyFont="1" applyFill="1" applyBorder="1" applyAlignment="1">
      <alignment horizontal="center"/>
    </xf>
    <xf numFmtId="1" fontId="16" fillId="5" borderId="30" xfId="0" applyNumberFormat="1" applyFont="1" applyFill="1" applyBorder="1" applyAlignment="1">
      <alignment horizontal="center"/>
    </xf>
    <xf numFmtId="1" fontId="16" fillId="5" borderId="31" xfId="0" applyNumberFormat="1" applyFont="1" applyFill="1" applyBorder="1" applyAlignment="1">
      <alignment horizontal="center"/>
    </xf>
    <xf numFmtId="165" fontId="14" fillId="10" borderId="33" xfId="0" applyFont="1" applyFill="1" applyBorder="1" applyAlignment="1">
      <alignment horizontal="right"/>
    </xf>
    <xf numFmtId="165" fontId="14" fillId="10" borderId="35" xfId="0" applyFont="1" applyFill="1" applyBorder="1" applyAlignment="1">
      <alignment horizontal="right"/>
    </xf>
    <xf numFmtId="1" fontId="4" fillId="11" borderId="13" xfId="0" applyNumberFormat="1" applyFont="1" applyFill="1" applyBorder="1" applyAlignment="1">
      <alignment horizontal="center" vertical="center"/>
    </xf>
    <xf numFmtId="3" fontId="14" fillId="7" borderId="49" xfId="0" applyNumberFormat="1" applyFont="1" applyFill="1" applyBorder="1" applyAlignment="1">
      <alignment horizontal="center"/>
    </xf>
    <xf numFmtId="3" fontId="14" fillId="7" borderId="32" xfId="0" applyNumberFormat="1" applyFont="1" applyFill="1" applyBorder="1" applyAlignment="1">
      <alignment horizontal="center"/>
    </xf>
    <xf numFmtId="1" fontId="4" fillId="5" borderId="0" xfId="0" applyNumberFormat="1" applyFont="1" applyFill="1" applyBorder="1" applyAlignment="1">
      <alignment horizontal="center" vertical="center"/>
    </xf>
    <xf numFmtId="3" fontId="34" fillId="8" borderId="0" xfId="0" applyNumberFormat="1" applyFont="1" applyFill="1" applyBorder="1" applyAlignment="1">
      <alignment horizontal="right"/>
    </xf>
    <xf numFmtId="3" fontId="34" fillId="8" borderId="0" xfId="0" applyNumberFormat="1" applyFont="1" applyFill="1" applyBorder="1" applyAlignment="1">
      <alignment horizontal="right" vertical="top"/>
    </xf>
    <xf numFmtId="165" fontId="1" fillId="10" borderId="33" xfId="0" applyFont="1" applyFill="1" applyBorder="1" applyAlignment="1">
      <alignment horizontal="right" vertical="center" wrapText="1"/>
    </xf>
    <xf numFmtId="165" fontId="1" fillId="10" borderId="50" xfId="0" applyFont="1" applyFill="1" applyBorder="1" applyAlignment="1">
      <alignment horizontal="right" vertical="center" wrapText="1"/>
    </xf>
    <xf numFmtId="168" fontId="10" fillId="5" borderId="0" xfId="0" applyNumberFormat="1" applyFont="1" applyFill="1" applyBorder="1" applyAlignment="1">
      <alignment horizontal="center" vertical="center"/>
    </xf>
    <xf numFmtId="165" fontId="20" fillId="8" borderId="0" xfId="0" applyFont="1" applyFill="1" applyBorder="1" applyAlignment="1">
      <alignment horizontal="center" vertical="center" wrapText="1"/>
    </xf>
    <xf numFmtId="165" fontId="20" fillId="8" borderId="0" xfId="0" applyFont="1" applyFill="1" applyBorder="1" applyAlignment="1">
      <alignment horizontal="left"/>
    </xf>
    <xf numFmtId="165" fontId="20" fillId="8" borderId="0" xfId="0" applyFont="1" applyFill="1" applyBorder="1" applyAlignment="1">
      <alignment horizontal="left" vertical="top"/>
    </xf>
    <xf numFmtId="165" fontId="3" fillId="4" borderId="5" xfId="0" applyFont="1" applyFill="1" applyBorder="1" applyAlignment="1">
      <alignment horizontal="left" vertical="center"/>
    </xf>
    <xf numFmtId="165" fontId="51" fillId="4" borderId="0" xfId="0" applyFont="1" applyFill="1" applyBorder="1" applyAlignment="1">
      <alignment horizontal="left" vertical="top" wrapText="1"/>
    </xf>
    <xf numFmtId="3" fontId="10" fillId="5" borderId="0" xfId="0" applyNumberFormat="1" applyFont="1" applyFill="1" applyBorder="1" applyAlignment="1">
      <alignment horizontal="center" vertical="center"/>
    </xf>
    <xf numFmtId="165" fontId="19" fillId="8" borderId="0" xfId="0" applyFont="1" applyFill="1" applyBorder="1" applyAlignment="1">
      <alignment horizontal="center" vertical="center"/>
    </xf>
    <xf numFmtId="165" fontId="14" fillId="13" borderId="0" xfId="0" applyFont="1" applyFill="1" applyBorder="1" applyAlignment="1">
      <alignment horizontal="center"/>
    </xf>
    <xf numFmtId="165" fontId="45" fillId="5" borderId="33" xfId="0" applyFont="1" applyFill="1" applyBorder="1" applyAlignment="1">
      <alignment horizontal="right"/>
    </xf>
    <xf numFmtId="165" fontId="14" fillId="5" borderId="34" xfId="0" applyFont="1" applyFill="1" applyBorder="1" applyAlignment="1">
      <alignment horizontal="right"/>
    </xf>
    <xf numFmtId="165" fontId="14" fillId="5" borderId="33" xfId="0" applyFont="1" applyFill="1" applyBorder="1" applyAlignment="1">
      <alignment horizontal="right"/>
    </xf>
    <xf numFmtId="165" fontId="37" fillId="5" borderId="36" xfId="0" applyFont="1" applyFill="1" applyBorder="1" applyAlignment="1">
      <alignment horizontal="center"/>
    </xf>
    <xf numFmtId="165" fontId="37" fillId="5" borderId="31" xfId="0" applyFont="1" applyFill="1" applyBorder="1" applyAlignment="1">
      <alignment horizontal="center"/>
    </xf>
    <xf numFmtId="165" fontId="37" fillId="5" borderId="33" xfId="0" applyFont="1" applyFill="1" applyBorder="1" applyAlignment="1">
      <alignment horizontal="center"/>
    </xf>
    <xf numFmtId="165" fontId="37" fillId="5" borderId="34" xfId="0" applyFont="1" applyFill="1" applyBorder="1" applyAlignment="1">
      <alignment horizontal="center"/>
    </xf>
    <xf numFmtId="165" fontId="37" fillId="5" borderId="35" xfId="0" applyFont="1" applyFill="1" applyBorder="1" applyAlignment="1">
      <alignment horizontal="center"/>
    </xf>
    <xf numFmtId="165" fontId="0" fillId="5" borderId="33" xfId="0" applyFont="1" applyFill="1" applyBorder="1" applyAlignment="1">
      <alignment horizontal="center"/>
    </xf>
    <xf numFmtId="165" fontId="0" fillId="5" borderId="34" xfId="0" applyFont="1" applyFill="1" applyBorder="1" applyAlignment="1">
      <alignment horizontal="center"/>
    </xf>
    <xf numFmtId="165" fontId="0" fillId="5" borderId="50" xfId="0" applyFont="1" applyFill="1" applyBorder="1" applyAlignment="1">
      <alignment horizontal="center"/>
    </xf>
    <xf numFmtId="3" fontId="34" fillId="8" borderId="0" xfId="0" applyNumberFormat="1" applyFont="1" applyFill="1" applyBorder="1" applyAlignment="1">
      <alignment horizontal="center"/>
    </xf>
    <xf numFmtId="3" fontId="34" fillId="8" borderId="0" xfId="0" applyNumberFormat="1" applyFont="1" applyFill="1" applyBorder="1" applyAlignment="1">
      <alignment horizontal="center" vertical="top"/>
    </xf>
    <xf numFmtId="165" fontId="2" fillId="4" borderId="0" xfId="0" applyFont="1" applyFill="1" applyBorder="1" applyAlignment="1">
      <alignment horizontal="left" vertical="top" wrapText="1"/>
    </xf>
    <xf numFmtId="165" fontId="2" fillId="4" borderId="0" xfId="0" applyFont="1" applyFill="1" applyBorder="1" applyAlignment="1">
      <alignment horizontal="left" vertical="top"/>
    </xf>
    <xf numFmtId="165" fontId="74" fillId="5" borderId="0" xfId="0" applyFont="1" applyFill="1" applyBorder="1" applyAlignment="1">
      <alignment horizontal="right" vertical="center"/>
    </xf>
    <xf numFmtId="3" fontId="9" fillId="5" borderId="0" xfId="0" applyNumberFormat="1" applyFont="1" applyFill="1" applyBorder="1" applyAlignment="1">
      <alignment horizontal="left" vertical="center"/>
    </xf>
    <xf numFmtId="165" fontId="51" fillId="4" borderId="0" xfId="0" applyFont="1" applyFill="1" applyBorder="1" applyAlignment="1">
      <alignment horizontal="center" vertical="top" wrapText="1"/>
    </xf>
    <xf numFmtId="168" fontId="10" fillId="4" borderId="0" xfId="0" applyNumberFormat="1" applyFont="1" applyFill="1" applyBorder="1" applyAlignment="1">
      <alignment horizontal="center" vertical="center"/>
    </xf>
    <xf numFmtId="1" fontId="73" fillId="5" borderId="0" xfId="0" applyNumberFormat="1" applyFont="1" applyFill="1" applyBorder="1" applyAlignment="1">
      <alignment horizontal="left" vertical="center"/>
    </xf>
    <xf numFmtId="3" fontId="10" fillId="4" borderId="0" xfId="0" applyNumberFormat="1" applyFont="1" applyFill="1" applyBorder="1" applyAlignment="1">
      <alignment horizontal="center" vertical="center"/>
    </xf>
    <xf numFmtId="165" fontId="1" fillId="10" borderId="36" xfId="0" applyFont="1" applyFill="1" applyBorder="1" applyAlignment="1">
      <alignment horizontal="right" vertical="center" wrapText="1"/>
    </xf>
    <xf numFmtId="1" fontId="16" fillId="5" borderId="25" xfId="0" applyNumberFormat="1" applyFont="1" applyFill="1" applyBorder="1" applyAlignment="1">
      <alignment horizontal="left" wrapText="1"/>
    </xf>
    <xf numFmtId="1" fontId="16" fillId="5" borderId="26" xfId="0" applyNumberFormat="1" applyFont="1" applyFill="1" applyBorder="1" applyAlignment="1">
      <alignment horizontal="left" wrapText="1"/>
    </xf>
    <xf numFmtId="1" fontId="16" fillId="5" borderId="27" xfId="0" applyNumberFormat="1" applyFont="1" applyFill="1" applyBorder="1" applyAlignment="1">
      <alignment horizontal="left" wrapText="1"/>
    </xf>
    <xf numFmtId="1" fontId="16" fillId="5" borderId="28" xfId="0" applyNumberFormat="1" applyFont="1" applyFill="1" applyBorder="1" applyAlignment="1">
      <alignment horizontal="left" wrapText="1"/>
    </xf>
    <xf numFmtId="1" fontId="16" fillId="5" borderId="0" xfId="0" applyNumberFormat="1" applyFont="1" applyFill="1" applyBorder="1" applyAlignment="1">
      <alignment horizontal="left" wrapText="1"/>
    </xf>
    <xf numFmtId="1" fontId="16" fillId="5" borderId="29" xfId="0" applyNumberFormat="1" applyFont="1" applyFill="1" applyBorder="1" applyAlignment="1">
      <alignment horizontal="left" wrapText="1"/>
    </xf>
    <xf numFmtId="1" fontId="16" fillId="5" borderId="36" xfId="0" applyNumberFormat="1" applyFont="1" applyFill="1" applyBorder="1" applyAlignment="1">
      <alignment horizontal="left" wrapText="1"/>
    </xf>
    <xf numFmtId="1" fontId="16" fillId="5" borderId="30" xfId="0" applyNumberFormat="1" applyFont="1" applyFill="1" applyBorder="1" applyAlignment="1">
      <alignment horizontal="left" wrapText="1"/>
    </xf>
    <xf numFmtId="1" fontId="16" fillId="5" borderId="31" xfId="0" applyNumberFormat="1" applyFont="1" applyFill="1" applyBorder="1" applyAlignment="1">
      <alignment horizontal="left" wrapText="1"/>
    </xf>
    <xf numFmtId="165" fontId="1" fillId="7" borderId="0" xfId="0" applyFont="1" applyFill="1" applyBorder="1" applyAlignment="1">
      <alignment horizontal="center" vertical="center" wrapText="1"/>
    </xf>
    <xf numFmtId="165" fontId="1" fillId="7" borderId="14" xfId="0" applyFont="1" applyFill="1" applyBorder="1" applyAlignment="1">
      <alignment horizontal="center" vertical="center" wrapText="1"/>
    </xf>
    <xf numFmtId="165" fontId="41" fillId="0" borderId="0" xfId="0" applyFont="1" applyAlignment="1">
      <alignment horizontal="center" wrapText="1"/>
    </xf>
    <xf numFmtId="3" fontId="19" fillId="8" borderId="0" xfId="0" applyNumberFormat="1" applyFont="1" applyFill="1" applyBorder="1" applyAlignment="1">
      <alignment horizontal="right"/>
    </xf>
    <xf numFmtId="165" fontId="61" fillId="8" borderId="0" xfId="0" applyFont="1" applyFill="1" applyBorder="1" applyAlignment="1">
      <alignment horizontal="left"/>
    </xf>
    <xf numFmtId="3" fontId="19" fillId="8" borderId="0" xfId="0" applyNumberFormat="1" applyFont="1" applyFill="1" applyBorder="1" applyAlignment="1">
      <alignment horizontal="right" vertical="top"/>
    </xf>
    <xf numFmtId="165" fontId="61" fillId="8" borderId="0" xfId="0" applyFont="1" applyFill="1" applyBorder="1" applyAlignment="1">
      <alignment horizontal="left" vertical="top"/>
    </xf>
    <xf numFmtId="165" fontId="34" fillId="8" borderId="0" xfId="0" applyFont="1" applyFill="1" applyBorder="1" applyAlignment="1">
      <alignment horizontal="center" vertical="center" wrapText="1"/>
    </xf>
    <xf numFmtId="3" fontId="20" fillId="8" borderId="0" xfId="0" applyNumberFormat="1" applyFont="1" applyFill="1" applyBorder="1" applyAlignment="1">
      <alignment horizontal="right"/>
    </xf>
    <xf numFmtId="3" fontId="20" fillId="8" borderId="0" xfId="0" applyNumberFormat="1" applyFont="1" applyFill="1" applyBorder="1" applyAlignment="1">
      <alignment horizontal="right" vertical="top"/>
    </xf>
    <xf numFmtId="165" fontId="66" fillId="8" borderId="0" xfId="0" applyFont="1" applyFill="1" applyBorder="1" applyAlignment="1">
      <alignment horizontal="left" vertical="center" wrapText="1"/>
    </xf>
    <xf numFmtId="165" fontId="9" fillId="5" borderId="0" xfId="0" applyFont="1" applyFill="1" applyBorder="1" applyAlignment="1">
      <alignment horizontal="left" vertical="center"/>
    </xf>
    <xf numFmtId="165" fontId="37" fillId="7" borderId="10" xfId="0" applyFont="1" applyFill="1" applyBorder="1" applyAlignment="1">
      <alignment horizontal="center" vertical="center" wrapText="1"/>
    </xf>
    <xf numFmtId="1" fontId="16" fillId="5" borderId="25" xfId="0" applyNumberFormat="1" applyFont="1" applyFill="1" applyBorder="1" applyAlignment="1">
      <alignment horizontal="center" wrapText="1"/>
    </xf>
    <xf numFmtId="1" fontId="16" fillId="5" borderId="26" xfId="0" applyNumberFormat="1" applyFont="1" applyFill="1" applyBorder="1" applyAlignment="1">
      <alignment horizontal="center" wrapText="1"/>
    </xf>
    <xf numFmtId="1" fontId="16" fillId="5" borderId="27" xfId="0" applyNumberFormat="1" applyFont="1" applyFill="1" applyBorder="1" applyAlignment="1">
      <alignment horizontal="center" wrapText="1"/>
    </xf>
    <xf numFmtId="1" fontId="16" fillId="5" borderId="28" xfId="0" applyNumberFormat="1" applyFont="1" applyFill="1" applyBorder="1" applyAlignment="1">
      <alignment horizontal="center" wrapText="1"/>
    </xf>
    <xf numFmtId="1" fontId="16" fillId="5" borderId="0" xfId="0" applyNumberFormat="1" applyFont="1" applyFill="1" applyBorder="1" applyAlignment="1">
      <alignment horizontal="center" wrapText="1"/>
    </xf>
    <xf numFmtId="1" fontId="16" fillId="5" borderId="29" xfId="0" applyNumberFormat="1" applyFont="1" applyFill="1" applyBorder="1" applyAlignment="1">
      <alignment horizontal="center" wrapText="1"/>
    </xf>
    <xf numFmtId="1" fontId="16" fillId="5" borderId="36" xfId="0" applyNumberFormat="1" applyFont="1" applyFill="1" applyBorder="1" applyAlignment="1">
      <alignment horizontal="center" wrapText="1"/>
    </xf>
    <xf numFmtId="1" fontId="16" fillId="5" borderId="30" xfId="0" applyNumberFormat="1" applyFont="1" applyFill="1" applyBorder="1" applyAlignment="1">
      <alignment horizontal="center" wrapText="1"/>
    </xf>
    <xf numFmtId="1" fontId="16" fillId="5" borderId="31" xfId="0" applyNumberFormat="1" applyFont="1" applyFill="1" applyBorder="1" applyAlignment="1">
      <alignment horizontal="center" wrapText="1"/>
    </xf>
    <xf numFmtId="165" fontId="14" fillId="9" borderId="46" xfId="0" applyFont="1" applyFill="1" applyBorder="1" applyAlignment="1">
      <alignment horizontal="right"/>
    </xf>
    <xf numFmtId="165" fontId="14" fillId="9" borderId="47" xfId="0" applyFont="1" applyFill="1" applyBorder="1" applyAlignment="1">
      <alignment horizontal="right"/>
    </xf>
    <xf numFmtId="165" fontId="53" fillId="11" borderId="54" xfId="0" applyFont="1" applyFill="1" applyBorder="1" applyAlignment="1">
      <alignment horizontal="center"/>
    </xf>
    <xf numFmtId="165" fontId="0" fillId="5" borderId="18" xfId="0" applyFont="1" applyFill="1" applyBorder="1" applyAlignment="1">
      <alignment horizontal="center"/>
    </xf>
    <xf numFmtId="165" fontId="0" fillId="5" borderId="44" xfId="0" applyFont="1" applyFill="1" applyBorder="1" applyAlignment="1">
      <alignment horizontal="center"/>
    </xf>
    <xf numFmtId="165" fontId="0" fillId="5" borderId="19" xfId="0" applyFont="1" applyFill="1" applyBorder="1" applyAlignment="1">
      <alignment horizontal="center"/>
    </xf>
    <xf numFmtId="165" fontId="14" fillId="9" borderId="46" xfId="0" applyFont="1" applyFill="1" applyBorder="1" applyAlignment="1">
      <alignment horizontal="center"/>
    </xf>
    <xf numFmtId="165" fontId="14" fillId="9" borderId="47" xfId="0" applyFont="1" applyFill="1" applyBorder="1" applyAlignment="1">
      <alignment horizontal="center"/>
    </xf>
    <xf numFmtId="165" fontId="11" fillId="5" borderId="0" xfId="0" applyFont="1" applyFill="1" applyBorder="1" applyAlignment="1">
      <alignment horizontal="right"/>
    </xf>
    <xf numFmtId="165" fontId="0" fillId="5" borderId="25" xfId="0" applyFont="1" applyFill="1" applyBorder="1" applyAlignment="1">
      <alignment horizontal="center"/>
    </xf>
    <xf numFmtId="165" fontId="0" fillId="5" borderId="26" xfId="0" applyFont="1" applyFill="1" applyBorder="1" applyAlignment="1">
      <alignment horizontal="center"/>
    </xf>
    <xf numFmtId="165" fontId="0" fillId="5" borderId="52" xfId="0" applyFont="1" applyFill="1" applyBorder="1" applyAlignment="1">
      <alignment horizontal="center"/>
    </xf>
    <xf numFmtId="165" fontId="73" fillId="5" borderId="0" xfId="0" applyFont="1" applyFill="1" applyBorder="1" applyAlignment="1">
      <alignment horizontal="right" vertical="center"/>
    </xf>
    <xf numFmtId="165" fontId="14" fillId="7" borderId="49" xfId="0" applyFont="1" applyFill="1" applyBorder="1" applyAlignment="1">
      <alignment horizontal="center"/>
    </xf>
    <xf numFmtId="165" fontId="14" fillId="7" borderId="32" xfId="0" applyFont="1" applyFill="1" applyBorder="1" applyAlignment="1">
      <alignment horizontal="center"/>
    </xf>
    <xf numFmtId="165" fontId="62" fillId="4" borderId="0" xfId="0" applyFont="1" applyFill="1" applyBorder="1" applyAlignment="1">
      <alignment horizontal="right" vertical="center" wrapText="1"/>
    </xf>
    <xf numFmtId="165" fontId="40" fillId="4" borderId="0" xfId="0" applyFont="1" applyFill="1" applyBorder="1" applyAlignment="1">
      <alignment horizontal="right" vertical="center" wrapText="1"/>
    </xf>
    <xf numFmtId="165" fontId="39" fillId="14" borderId="36" xfId="0" applyFont="1" applyFill="1" applyBorder="1" applyAlignment="1">
      <alignment horizontal="center"/>
    </xf>
    <xf numFmtId="165" fontId="39" fillId="14" borderId="31" xfId="0" applyFont="1" applyFill="1" applyBorder="1" applyAlignment="1">
      <alignment horizontal="center"/>
    </xf>
    <xf numFmtId="165" fontId="14" fillId="5" borderId="46" xfId="0" applyFont="1" applyFill="1" applyBorder="1" applyAlignment="1">
      <alignment horizontal="right"/>
    </xf>
    <xf numFmtId="165" fontId="14" fillId="5" borderId="47" xfId="0" applyFont="1" applyFill="1" applyBorder="1" applyAlignment="1">
      <alignment horizontal="right"/>
    </xf>
    <xf numFmtId="165" fontId="14" fillId="5" borderId="0" xfId="0" applyFont="1" applyFill="1" applyBorder="1" applyAlignment="1">
      <alignment horizontal="right"/>
    </xf>
    <xf numFmtId="1" fontId="0" fillId="5" borderId="0" xfId="0" applyNumberFormat="1" applyFill="1" applyBorder="1" applyAlignment="1">
      <alignment horizontal="center"/>
    </xf>
    <xf numFmtId="165" fontId="0" fillId="5" borderId="54" xfId="0" applyFill="1" applyBorder="1" applyAlignment="1">
      <alignment horizontal="center"/>
    </xf>
    <xf numFmtId="165" fontId="14" fillId="14" borderId="46" xfId="0" applyFont="1" applyFill="1" applyBorder="1" applyAlignment="1">
      <alignment horizontal="right"/>
    </xf>
    <xf numFmtId="165" fontId="14" fillId="14" borderId="47" xfId="0" applyFont="1" applyFill="1" applyBorder="1" applyAlignment="1">
      <alignment horizontal="right"/>
    </xf>
    <xf numFmtId="165" fontId="14" fillId="5" borderId="46" xfId="0" applyFont="1" applyFill="1" applyBorder="1" applyAlignment="1">
      <alignment horizontal="center"/>
    </xf>
    <xf numFmtId="165" fontId="14" fillId="5" borderId="47" xfId="0" applyFont="1" applyFill="1" applyBorder="1" applyAlignment="1">
      <alignment horizontal="center"/>
    </xf>
    <xf numFmtId="165" fontId="14" fillId="7" borderId="69" xfId="0" applyFont="1" applyFill="1" applyBorder="1" applyAlignment="1">
      <alignment horizontal="center"/>
    </xf>
    <xf numFmtId="165" fontId="14" fillId="7" borderId="23" xfId="0" applyFont="1" applyFill="1" applyBorder="1" applyAlignment="1">
      <alignment horizontal="center"/>
    </xf>
    <xf numFmtId="3" fontId="60" fillId="4" borderId="0" xfId="0" applyNumberFormat="1" applyFont="1" applyFill="1" applyBorder="1" applyAlignment="1">
      <alignment horizontal="right" vertical="center"/>
    </xf>
    <xf numFmtId="165" fontId="3" fillId="4" borderId="0" xfId="0" applyFont="1" applyFill="1" applyBorder="1" applyAlignment="1">
      <alignment horizontal="left" vertical="center" indent="1"/>
    </xf>
    <xf numFmtId="165" fontId="3" fillId="4" borderId="7" xfId="0" applyFont="1" applyFill="1" applyBorder="1" applyAlignment="1">
      <alignment horizontal="left" vertical="center"/>
    </xf>
    <xf numFmtId="165" fontId="3" fillId="4" borderId="7" xfId="0" applyFont="1" applyFill="1" applyBorder="1" applyAlignment="1">
      <alignment horizontal="left" vertical="center" indent="1"/>
    </xf>
    <xf numFmtId="165" fontId="3" fillId="4" borderId="0" xfId="0" applyFont="1" applyFill="1" applyBorder="1" applyAlignment="1">
      <alignment horizontal="center"/>
    </xf>
    <xf numFmtId="165" fontId="51" fillId="4" borderId="2" xfId="0" applyFont="1" applyFill="1" applyBorder="1" applyAlignment="1">
      <alignment horizontal="center" vertical="center" wrapText="1"/>
    </xf>
    <xf numFmtId="165" fontId="51" fillId="4" borderId="7" xfId="0" applyFont="1" applyFill="1" applyBorder="1" applyAlignment="1">
      <alignment horizontal="center" vertical="center" wrapText="1"/>
    </xf>
    <xf numFmtId="165" fontId="51" fillId="4" borderId="0" xfId="0" applyFont="1" applyFill="1" applyBorder="1" applyAlignment="1">
      <alignment horizontal="center" vertical="center" wrapText="1"/>
    </xf>
    <xf numFmtId="165" fontId="52" fillId="0" borderId="0" xfId="0" applyFont="1" applyBorder="1" applyAlignment="1">
      <alignment horizontal="center" vertical="center" wrapText="1"/>
    </xf>
    <xf numFmtId="165" fontId="52" fillId="0" borderId="7" xfId="0" applyFont="1" applyBorder="1" applyAlignment="1">
      <alignment horizontal="center" vertical="center" wrapText="1"/>
    </xf>
    <xf numFmtId="165" fontId="9" fillId="5" borderId="0" xfId="0" applyFont="1" applyFill="1" applyBorder="1" applyAlignment="1">
      <alignment horizontal="left" vertical="top"/>
    </xf>
    <xf numFmtId="165" fontId="1" fillId="14" borderId="25" xfId="0" applyFont="1" applyFill="1" applyBorder="1" applyAlignment="1">
      <alignment horizontal="left"/>
    </xf>
    <xf numFmtId="165" fontId="1" fillId="14" borderId="27" xfId="0" applyFont="1" applyFill="1" applyBorder="1" applyAlignment="1">
      <alignment horizontal="left"/>
    </xf>
    <xf numFmtId="165" fontId="37" fillId="14" borderId="36" xfId="0" applyFont="1" applyFill="1" applyBorder="1" applyAlignment="1">
      <alignment horizontal="center"/>
    </xf>
    <xf numFmtId="165" fontId="37" fillId="14" borderId="30" xfId="0" applyFont="1" applyFill="1" applyBorder="1" applyAlignment="1">
      <alignment horizontal="center"/>
    </xf>
    <xf numFmtId="165" fontId="37" fillId="14" borderId="31" xfId="0" applyFont="1" applyFill="1" applyBorder="1" applyAlignment="1">
      <alignment horizontal="center"/>
    </xf>
    <xf numFmtId="165" fontId="1" fillId="14" borderId="33" xfId="0" applyFont="1" applyFill="1" applyBorder="1" applyAlignment="1">
      <alignment horizontal="left"/>
    </xf>
    <xf numFmtId="165" fontId="1" fillId="14" borderId="35" xfId="0" applyFont="1" applyFill="1" applyBorder="1" applyAlignment="1">
      <alignment horizontal="left"/>
    </xf>
    <xf numFmtId="165" fontId="1" fillId="14" borderId="33" xfId="0" applyFont="1" applyFill="1" applyBorder="1" applyAlignment="1">
      <alignment horizontal="center"/>
    </xf>
    <xf numFmtId="165" fontId="1" fillId="14" borderId="35" xfId="0" applyFont="1" applyFill="1" applyBorder="1" applyAlignment="1">
      <alignment horizontal="center"/>
    </xf>
    <xf numFmtId="165" fontId="0" fillId="0" borderId="33" xfId="0" applyBorder="1" applyAlignment="1">
      <alignment horizontal="center"/>
    </xf>
    <xf numFmtId="165" fontId="0" fillId="0" borderId="35" xfId="0" applyBorder="1" applyAlignment="1">
      <alignment horizontal="center"/>
    </xf>
  </cellXfs>
  <cellStyles count="3">
    <cellStyle name="Hipervínculo" xfId="1" builtinId="8"/>
    <cellStyle name="Normal" xfId="0" builtinId="0"/>
    <cellStyle name="Porcentual" xfId="2" builtinId="5"/>
  </cellStyles>
  <dxfs count="13">
    <dxf>
      <fill>
        <patternFill>
          <bgColor theme="5" tint="0.59996337778862885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5" tint="0.59996337778862885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5" tint="0.59996337778862885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5" tint="0.59996337778862885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5" tint="0.59996337778862885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5" tint="0.59996337778862885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5" tint="0.59996337778862885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5" tint="0.59996337778862885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5" tint="0.59996337778862885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5" tint="0.59996337778862885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5" tint="0.59996337778862885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5" tint="0.59996337778862885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5" tint="0.59996337778862885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colors>
    <mruColors>
      <color rgb="FFFF3300"/>
      <color rgb="FFFDF1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3.png"/><Relationship Id="rId2" Type="http://schemas.openxmlformats.org/officeDocument/2006/relationships/image" Target="../media/image52.png"/><Relationship Id="rId1" Type="http://schemas.openxmlformats.org/officeDocument/2006/relationships/image" Target="../media/image35.png"/><Relationship Id="rId4" Type="http://schemas.openxmlformats.org/officeDocument/2006/relationships/image" Target="../media/image48.sv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8.svg"/><Relationship Id="rId2" Type="http://schemas.openxmlformats.org/officeDocument/2006/relationships/image" Target="../media/image53.png"/><Relationship Id="rId1" Type="http://schemas.openxmlformats.org/officeDocument/2006/relationships/image" Target="../media/image35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0.svg"/><Relationship Id="rId2" Type="http://schemas.openxmlformats.org/officeDocument/2006/relationships/image" Target="../media/image54.png"/><Relationship Id="rId1" Type="http://schemas.openxmlformats.org/officeDocument/2006/relationships/hyperlink" Target="#Intro!A1"/><Relationship Id="rId6" Type="http://schemas.openxmlformats.org/officeDocument/2006/relationships/hyperlink" Target="#Summary!A1"/><Relationship Id="rId5" Type="http://schemas.openxmlformats.org/officeDocument/2006/relationships/image" Target="../media/image55.png"/><Relationship Id="rId4" Type="http://schemas.openxmlformats.org/officeDocument/2006/relationships/hyperlink" Target="#Photos!A1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4.png"/><Relationship Id="rId18" Type="http://schemas.openxmlformats.org/officeDocument/2006/relationships/image" Target="../media/image50.svg"/><Relationship Id="rId3" Type="http://schemas.openxmlformats.org/officeDocument/2006/relationships/image" Target="../media/image58.png"/><Relationship Id="rId7" Type="http://schemas.openxmlformats.org/officeDocument/2006/relationships/image" Target="../media/image61.png"/><Relationship Id="rId12" Type="http://schemas.openxmlformats.org/officeDocument/2006/relationships/image" Target="../media/image63.png"/><Relationship Id="rId17" Type="http://schemas.openxmlformats.org/officeDocument/2006/relationships/image" Target="../media/image67.png"/><Relationship Id="rId2" Type="http://schemas.openxmlformats.org/officeDocument/2006/relationships/image" Target="../media/image57.png"/><Relationship Id="rId16" Type="http://schemas.openxmlformats.org/officeDocument/2006/relationships/image" Target="../media/image66.png"/><Relationship Id="rId1" Type="http://schemas.openxmlformats.org/officeDocument/2006/relationships/image" Target="../media/image56.png"/><Relationship Id="rId6" Type="http://schemas.openxmlformats.org/officeDocument/2006/relationships/hyperlink" Target="#Photos!A1"/><Relationship Id="rId11" Type="http://schemas.openxmlformats.org/officeDocument/2006/relationships/hyperlink" Target="#Intro!A1"/><Relationship Id="rId5" Type="http://schemas.openxmlformats.org/officeDocument/2006/relationships/image" Target="../media/image60.png"/><Relationship Id="rId15" Type="http://schemas.openxmlformats.org/officeDocument/2006/relationships/image" Target="../media/image65.png"/><Relationship Id="rId10" Type="http://schemas.openxmlformats.org/officeDocument/2006/relationships/hyperlink" Target="#'Summary '!A1"/><Relationship Id="rId4" Type="http://schemas.openxmlformats.org/officeDocument/2006/relationships/image" Target="../media/image59.png"/><Relationship Id="rId9" Type="http://schemas.openxmlformats.org/officeDocument/2006/relationships/image" Target="../media/image48.svg"/><Relationship Id="rId14" Type="http://schemas.openxmlformats.org/officeDocument/2006/relationships/image" Target="../media/image35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2.png"/><Relationship Id="rId13" Type="http://schemas.openxmlformats.org/officeDocument/2006/relationships/image" Target="../media/image50.svg"/><Relationship Id="rId3" Type="http://schemas.openxmlformats.org/officeDocument/2006/relationships/image" Target="../media/image69.png"/><Relationship Id="rId7" Type="http://schemas.openxmlformats.org/officeDocument/2006/relationships/image" Target="../media/image71.png"/><Relationship Id="rId12" Type="http://schemas.openxmlformats.org/officeDocument/2006/relationships/image" Target="../media/image75.png"/><Relationship Id="rId2" Type="http://schemas.openxmlformats.org/officeDocument/2006/relationships/hyperlink" Target="#Photos!A1"/><Relationship Id="rId1" Type="http://schemas.openxmlformats.org/officeDocument/2006/relationships/image" Target="../media/image68.emf"/><Relationship Id="rId6" Type="http://schemas.openxmlformats.org/officeDocument/2006/relationships/hyperlink" Target="#Summary!A1"/><Relationship Id="rId11" Type="http://schemas.openxmlformats.org/officeDocument/2006/relationships/image" Target="../media/image74.png"/><Relationship Id="rId5" Type="http://schemas.openxmlformats.org/officeDocument/2006/relationships/image" Target="../media/image48.svg"/><Relationship Id="rId15" Type="http://schemas.openxmlformats.org/officeDocument/2006/relationships/image" Target="../media/image76.png"/><Relationship Id="rId10" Type="http://schemas.openxmlformats.org/officeDocument/2006/relationships/image" Target="../media/image66.png"/><Relationship Id="rId4" Type="http://schemas.openxmlformats.org/officeDocument/2006/relationships/image" Target="../media/image70.png"/><Relationship Id="rId9" Type="http://schemas.openxmlformats.org/officeDocument/2006/relationships/image" Target="../media/image73.png"/><Relationship Id="rId14" Type="http://schemas.openxmlformats.org/officeDocument/2006/relationships/hyperlink" Target="#Selection!A1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73.png"/><Relationship Id="rId13" Type="http://schemas.openxmlformats.org/officeDocument/2006/relationships/image" Target="../media/image75.png"/><Relationship Id="rId3" Type="http://schemas.openxmlformats.org/officeDocument/2006/relationships/image" Target="../media/image77.png"/><Relationship Id="rId7" Type="http://schemas.openxmlformats.org/officeDocument/2006/relationships/image" Target="../media/image72.png"/><Relationship Id="rId12" Type="http://schemas.openxmlformats.org/officeDocument/2006/relationships/hyperlink" Target="#Selection!A1"/><Relationship Id="rId17" Type="http://schemas.openxmlformats.org/officeDocument/2006/relationships/image" Target="../media/image80.png"/><Relationship Id="rId2" Type="http://schemas.openxmlformats.org/officeDocument/2006/relationships/hyperlink" Target="#Photos!A1"/><Relationship Id="rId16" Type="http://schemas.openxmlformats.org/officeDocument/2006/relationships/image" Target="../media/image79.png"/><Relationship Id="rId1" Type="http://schemas.openxmlformats.org/officeDocument/2006/relationships/image" Target="../media/image68.emf"/><Relationship Id="rId6" Type="http://schemas.openxmlformats.org/officeDocument/2006/relationships/image" Target="../media/image71.png"/><Relationship Id="rId11" Type="http://schemas.openxmlformats.org/officeDocument/2006/relationships/image" Target="../media/image78.png"/><Relationship Id="rId5" Type="http://schemas.openxmlformats.org/officeDocument/2006/relationships/hyperlink" Target="#Summary!A1"/><Relationship Id="rId15" Type="http://schemas.openxmlformats.org/officeDocument/2006/relationships/hyperlink" Target="#Selection!A1"/><Relationship Id="rId10" Type="http://schemas.openxmlformats.org/officeDocument/2006/relationships/image" Target="../media/image74.png"/><Relationship Id="rId4" Type="http://schemas.openxmlformats.org/officeDocument/2006/relationships/hyperlink" Target="#'SAfety risk'!A1"/><Relationship Id="rId9" Type="http://schemas.openxmlformats.org/officeDocument/2006/relationships/image" Target="../media/image66.png"/><Relationship Id="rId14" Type="http://schemas.openxmlformats.org/officeDocument/2006/relationships/image" Target="../media/image50.sv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6.png"/><Relationship Id="rId13" Type="http://schemas.openxmlformats.org/officeDocument/2006/relationships/hyperlink" Target="#Selection!A1"/><Relationship Id="rId18" Type="http://schemas.openxmlformats.org/officeDocument/2006/relationships/image" Target="../media/image83.png"/><Relationship Id="rId3" Type="http://schemas.openxmlformats.org/officeDocument/2006/relationships/image" Target="../media/image81.png"/><Relationship Id="rId7" Type="http://schemas.openxmlformats.org/officeDocument/2006/relationships/image" Target="../media/image73.png"/><Relationship Id="rId12" Type="http://schemas.openxmlformats.org/officeDocument/2006/relationships/image" Target="../media/image50.svg"/><Relationship Id="rId17" Type="http://schemas.openxmlformats.org/officeDocument/2006/relationships/image" Target="../media/image41.png"/><Relationship Id="rId2" Type="http://schemas.openxmlformats.org/officeDocument/2006/relationships/hyperlink" Target="#Photos!A1"/><Relationship Id="rId16" Type="http://schemas.openxmlformats.org/officeDocument/2006/relationships/hyperlink" Target="#Summary!A1"/><Relationship Id="rId1" Type="http://schemas.openxmlformats.org/officeDocument/2006/relationships/image" Target="../media/image68.emf"/><Relationship Id="rId6" Type="http://schemas.openxmlformats.org/officeDocument/2006/relationships/image" Target="../media/image72.png"/><Relationship Id="rId11" Type="http://schemas.openxmlformats.org/officeDocument/2006/relationships/image" Target="../media/image75.png"/><Relationship Id="rId5" Type="http://schemas.openxmlformats.org/officeDocument/2006/relationships/image" Target="../media/image71.png"/><Relationship Id="rId15" Type="http://schemas.openxmlformats.org/officeDocument/2006/relationships/image" Target="../media/image82.png"/><Relationship Id="rId10" Type="http://schemas.openxmlformats.org/officeDocument/2006/relationships/hyperlink" Target="#Selection!A1"/><Relationship Id="rId4" Type="http://schemas.openxmlformats.org/officeDocument/2006/relationships/hyperlink" Target="#Summary!A1"/><Relationship Id="rId9" Type="http://schemas.openxmlformats.org/officeDocument/2006/relationships/image" Target="../media/image74.png"/><Relationship Id="rId14" Type="http://schemas.openxmlformats.org/officeDocument/2006/relationships/hyperlink" Target="#Photos!A1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58.png"/><Relationship Id="rId13" Type="http://schemas.openxmlformats.org/officeDocument/2006/relationships/image" Target="../media/image35.png"/><Relationship Id="rId18" Type="http://schemas.openxmlformats.org/officeDocument/2006/relationships/image" Target="../media/image50.svg"/><Relationship Id="rId3" Type="http://schemas.openxmlformats.org/officeDocument/2006/relationships/image" Target="../media/image85.png"/><Relationship Id="rId7" Type="http://schemas.openxmlformats.org/officeDocument/2006/relationships/image" Target="../media/image56.png"/><Relationship Id="rId12" Type="http://schemas.openxmlformats.org/officeDocument/2006/relationships/image" Target="../media/image64.png"/><Relationship Id="rId17" Type="http://schemas.openxmlformats.org/officeDocument/2006/relationships/image" Target="../media/image87.png"/><Relationship Id="rId2" Type="http://schemas.openxmlformats.org/officeDocument/2006/relationships/image" Target="../media/image84.png"/><Relationship Id="rId16" Type="http://schemas.openxmlformats.org/officeDocument/2006/relationships/hyperlink" Target="#Selection!A1"/><Relationship Id="rId20" Type="http://schemas.openxmlformats.org/officeDocument/2006/relationships/image" Target="../media/image74.png"/><Relationship Id="rId1" Type="http://schemas.openxmlformats.org/officeDocument/2006/relationships/hyperlink" Target="#Photos!A1"/><Relationship Id="rId6" Type="http://schemas.openxmlformats.org/officeDocument/2006/relationships/image" Target="../media/image86.png"/><Relationship Id="rId11" Type="http://schemas.openxmlformats.org/officeDocument/2006/relationships/hyperlink" Target="#'Summary '!A1"/><Relationship Id="rId5" Type="http://schemas.openxmlformats.org/officeDocument/2006/relationships/hyperlink" Target="#Summary!A1"/><Relationship Id="rId15" Type="http://schemas.openxmlformats.org/officeDocument/2006/relationships/image" Target="../media/image66.png"/><Relationship Id="rId10" Type="http://schemas.openxmlformats.org/officeDocument/2006/relationships/image" Target="../media/image60.png"/><Relationship Id="rId19" Type="http://schemas.openxmlformats.org/officeDocument/2006/relationships/hyperlink" Target="#Selection!A1"/><Relationship Id="rId4" Type="http://schemas.openxmlformats.org/officeDocument/2006/relationships/image" Target="../media/image48.svg"/><Relationship Id="rId9" Type="http://schemas.openxmlformats.org/officeDocument/2006/relationships/image" Target="../media/image59.png"/><Relationship Id="rId14" Type="http://schemas.openxmlformats.org/officeDocument/2006/relationships/image" Target="../media/image65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35.png"/><Relationship Id="rId13" Type="http://schemas.openxmlformats.org/officeDocument/2006/relationships/hyperlink" Target="#Selection!A1"/><Relationship Id="rId3" Type="http://schemas.openxmlformats.org/officeDocument/2006/relationships/image" Target="../media/image88.png"/><Relationship Id="rId7" Type="http://schemas.openxmlformats.org/officeDocument/2006/relationships/image" Target="../media/image90.png"/><Relationship Id="rId12" Type="http://schemas.openxmlformats.org/officeDocument/2006/relationships/image" Target="../media/image60.png"/><Relationship Id="rId2" Type="http://schemas.openxmlformats.org/officeDocument/2006/relationships/image" Target="../media/image69.png"/><Relationship Id="rId16" Type="http://schemas.openxmlformats.org/officeDocument/2006/relationships/hyperlink" Target="#Selection!A1"/><Relationship Id="rId1" Type="http://schemas.openxmlformats.org/officeDocument/2006/relationships/hyperlink" Target="#Photos!A1"/><Relationship Id="rId6" Type="http://schemas.openxmlformats.org/officeDocument/2006/relationships/image" Target="../media/image89.png"/><Relationship Id="rId11" Type="http://schemas.openxmlformats.org/officeDocument/2006/relationships/image" Target="../media/image59.png"/><Relationship Id="rId5" Type="http://schemas.openxmlformats.org/officeDocument/2006/relationships/hyperlink" Target="#'Summary '!A1"/><Relationship Id="rId15" Type="http://schemas.openxmlformats.org/officeDocument/2006/relationships/image" Target="../media/image50.svg"/><Relationship Id="rId10" Type="http://schemas.openxmlformats.org/officeDocument/2006/relationships/image" Target="../media/image58.png"/><Relationship Id="rId4" Type="http://schemas.openxmlformats.org/officeDocument/2006/relationships/image" Target="../media/image48.svg"/><Relationship Id="rId9" Type="http://schemas.openxmlformats.org/officeDocument/2006/relationships/image" Target="../media/image56.png"/><Relationship Id="rId14" Type="http://schemas.openxmlformats.org/officeDocument/2006/relationships/image" Target="../media/image75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86.png"/><Relationship Id="rId13" Type="http://schemas.openxmlformats.org/officeDocument/2006/relationships/image" Target="../media/image50.svg"/><Relationship Id="rId3" Type="http://schemas.openxmlformats.org/officeDocument/2006/relationships/image" Target="../media/image91.png"/><Relationship Id="rId7" Type="http://schemas.openxmlformats.org/officeDocument/2006/relationships/image" Target="../media/image71.png"/><Relationship Id="rId12" Type="http://schemas.openxmlformats.org/officeDocument/2006/relationships/image" Target="../media/image75.png"/><Relationship Id="rId2" Type="http://schemas.openxmlformats.org/officeDocument/2006/relationships/hyperlink" Target="#Photos!A1"/><Relationship Id="rId1" Type="http://schemas.openxmlformats.org/officeDocument/2006/relationships/image" Target="../media/image68.emf"/><Relationship Id="rId6" Type="http://schemas.openxmlformats.org/officeDocument/2006/relationships/hyperlink" Target="#Summary!A1"/><Relationship Id="rId11" Type="http://schemas.openxmlformats.org/officeDocument/2006/relationships/hyperlink" Target="#Selection!A1"/><Relationship Id="rId5" Type="http://schemas.openxmlformats.org/officeDocument/2006/relationships/image" Target="../media/image48.svg"/><Relationship Id="rId15" Type="http://schemas.openxmlformats.org/officeDocument/2006/relationships/image" Target="../media/image94.png"/><Relationship Id="rId10" Type="http://schemas.openxmlformats.org/officeDocument/2006/relationships/image" Target="../media/image93.png"/><Relationship Id="rId4" Type="http://schemas.openxmlformats.org/officeDocument/2006/relationships/image" Target="../media/image92.png"/><Relationship Id="rId9" Type="http://schemas.openxmlformats.org/officeDocument/2006/relationships/image" Target="../media/image73.png"/><Relationship Id="rId14" Type="http://schemas.openxmlformats.org/officeDocument/2006/relationships/hyperlink" Target="#Selection!A1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35.png"/><Relationship Id="rId13" Type="http://schemas.openxmlformats.org/officeDocument/2006/relationships/hyperlink" Target="#Selection!A1"/><Relationship Id="rId3" Type="http://schemas.openxmlformats.org/officeDocument/2006/relationships/image" Target="../media/image92.png"/><Relationship Id="rId7" Type="http://schemas.openxmlformats.org/officeDocument/2006/relationships/image" Target="../media/image96.png"/><Relationship Id="rId12" Type="http://schemas.openxmlformats.org/officeDocument/2006/relationships/image" Target="../media/image60.png"/><Relationship Id="rId2" Type="http://schemas.openxmlformats.org/officeDocument/2006/relationships/image" Target="../media/image91.png"/><Relationship Id="rId16" Type="http://schemas.openxmlformats.org/officeDocument/2006/relationships/hyperlink" Target="#Selection!A1"/><Relationship Id="rId1" Type="http://schemas.openxmlformats.org/officeDocument/2006/relationships/hyperlink" Target="#Photos!A1"/><Relationship Id="rId6" Type="http://schemas.openxmlformats.org/officeDocument/2006/relationships/image" Target="../media/image95.png"/><Relationship Id="rId11" Type="http://schemas.openxmlformats.org/officeDocument/2006/relationships/image" Target="../media/image59.png"/><Relationship Id="rId5" Type="http://schemas.openxmlformats.org/officeDocument/2006/relationships/hyperlink" Target="#'Summary '!A1"/><Relationship Id="rId15" Type="http://schemas.openxmlformats.org/officeDocument/2006/relationships/image" Target="../media/image50.svg"/><Relationship Id="rId10" Type="http://schemas.openxmlformats.org/officeDocument/2006/relationships/image" Target="../media/image58.png"/><Relationship Id="rId4" Type="http://schemas.openxmlformats.org/officeDocument/2006/relationships/image" Target="../media/image48.svg"/><Relationship Id="rId9" Type="http://schemas.openxmlformats.org/officeDocument/2006/relationships/image" Target="../media/image56.png"/><Relationship Id="rId14" Type="http://schemas.openxmlformats.org/officeDocument/2006/relationships/image" Target="../media/image97.pn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6.png"/><Relationship Id="rId13" Type="http://schemas.openxmlformats.org/officeDocument/2006/relationships/image" Target="../media/image50.svg"/><Relationship Id="rId3" Type="http://schemas.openxmlformats.org/officeDocument/2006/relationships/image" Target="../media/image81.png"/><Relationship Id="rId7" Type="http://schemas.openxmlformats.org/officeDocument/2006/relationships/image" Target="../media/image71.png"/><Relationship Id="rId12" Type="http://schemas.openxmlformats.org/officeDocument/2006/relationships/image" Target="../media/image97.png"/><Relationship Id="rId2" Type="http://schemas.openxmlformats.org/officeDocument/2006/relationships/hyperlink" Target="#Photos!A1"/><Relationship Id="rId1" Type="http://schemas.openxmlformats.org/officeDocument/2006/relationships/image" Target="../media/image68.emf"/><Relationship Id="rId6" Type="http://schemas.openxmlformats.org/officeDocument/2006/relationships/hyperlink" Target="#Summary!A1"/><Relationship Id="rId11" Type="http://schemas.openxmlformats.org/officeDocument/2006/relationships/hyperlink" Target="#Selection!A1"/><Relationship Id="rId5" Type="http://schemas.openxmlformats.org/officeDocument/2006/relationships/image" Target="../media/image48.svg"/><Relationship Id="rId15" Type="http://schemas.openxmlformats.org/officeDocument/2006/relationships/image" Target="../media/image99.png"/><Relationship Id="rId10" Type="http://schemas.openxmlformats.org/officeDocument/2006/relationships/image" Target="../media/image93.png"/><Relationship Id="rId4" Type="http://schemas.openxmlformats.org/officeDocument/2006/relationships/image" Target="../media/image98.png"/><Relationship Id="rId9" Type="http://schemas.openxmlformats.org/officeDocument/2006/relationships/image" Target="../media/image73.png"/><Relationship Id="rId14" Type="http://schemas.openxmlformats.org/officeDocument/2006/relationships/hyperlink" Target="#Selection!A1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6.png"/><Relationship Id="rId13" Type="http://schemas.openxmlformats.org/officeDocument/2006/relationships/image" Target="../media/image50.svg"/><Relationship Id="rId3" Type="http://schemas.openxmlformats.org/officeDocument/2006/relationships/image" Target="../media/image92.png"/><Relationship Id="rId7" Type="http://schemas.openxmlformats.org/officeDocument/2006/relationships/image" Target="../media/image35.png"/><Relationship Id="rId12" Type="http://schemas.openxmlformats.org/officeDocument/2006/relationships/image" Target="../media/image97.png"/><Relationship Id="rId2" Type="http://schemas.openxmlformats.org/officeDocument/2006/relationships/image" Target="../media/image91.png"/><Relationship Id="rId1" Type="http://schemas.openxmlformats.org/officeDocument/2006/relationships/hyperlink" Target="#Photos!A1"/><Relationship Id="rId6" Type="http://schemas.openxmlformats.org/officeDocument/2006/relationships/image" Target="../media/image96.png"/><Relationship Id="rId11" Type="http://schemas.openxmlformats.org/officeDocument/2006/relationships/image" Target="../media/image60.png"/><Relationship Id="rId5" Type="http://schemas.openxmlformats.org/officeDocument/2006/relationships/hyperlink" Target="#'Summary '!A1"/><Relationship Id="rId10" Type="http://schemas.openxmlformats.org/officeDocument/2006/relationships/image" Target="../media/image59.png"/><Relationship Id="rId4" Type="http://schemas.openxmlformats.org/officeDocument/2006/relationships/image" Target="../media/image48.svg"/><Relationship Id="rId9" Type="http://schemas.openxmlformats.org/officeDocument/2006/relationships/image" Target="../media/image58.png"/><Relationship Id="rId14" Type="http://schemas.openxmlformats.org/officeDocument/2006/relationships/hyperlink" Target="#Selection!A1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1.png"/><Relationship Id="rId3" Type="http://schemas.openxmlformats.org/officeDocument/2006/relationships/image" Target="../media/image92.png"/><Relationship Id="rId7" Type="http://schemas.openxmlformats.org/officeDocument/2006/relationships/image" Target="../media/image50.svg"/><Relationship Id="rId2" Type="http://schemas.openxmlformats.org/officeDocument/2006/relationships/image" Target="../media/image91.png"/><Relationship Id="rId1" Type="http://schemas.openxmlformats.org/officeDocument/2006/relationships/hyperlink" Target="#Photos!A1"/><Relationship Id="rId6" Type="http://schemas.openxmlformats.org/officeDocument/2006/relationships/image" Target="../media/image100.png"/><Relationship Id="rId11" Type="http://schemas.openxmlformats.org/officeDocument/2006/relationships/image" Target="../media/image104.png"/><Relationship Id="rId5" Type="http://schemas.openxmlformats.org/officeDocument/2006/relationships/image" Target="../media/image35.png"/><Relationship Id="rId10" Type="http://schemas.openxmlformats.org/officeDocument/2006/relationships/image" Target="../media/image103.png"/><Relationship Id="rId4" Type="http://schemas.openxmlformats.org/officeDocument/2006/relationships/image" Target="../media/image48.svg"/><Relationship Id="rId9" Type="http://schemas.openxmlformats.org/officeDocument/2006/relationships/image" Target="../media/image102.png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1.png"/><Relationship Id="rId13" Type="http://schemas.openxmlformats.org/officeDocument/2006/relationships/image" Target="../media/image56.png"/><Relationship Id="rId18" Type="http://schemas.openxmlformats.org/officeDocument/2006/relationships/image" Target="../media/image112.png"/><Relationship Id="rId26" Type="http://schemas.openxmlformats.org/officeDocument/2006/relationships/image" Target="../media/image66.png"/><Relationship Id="rId3" Type="http://schemas.openxmlformats.org/officeDocument/2006/relationships/image" Target="../media/image106.jpeg"/><Relationship Id="rId21" Type="http://schemas.openxmlformats.org/officeDocument/2006/relationships/hyperlink" Target="#'Summary '!A1"/><Relationship Id="rId7" Type="http://schemas.openxmlformats.org/officeDocument/2006/relationships/image" Target="../media/image40.png"/><Relationship Id="rId12" Type="http://schemas.openxmlformats.org/officeDocument/2006/relationships/image" Target="../media/image111.jpeg"/><Relationship Id="rId17" Type="http://schemas.openxmlformats.org/officeDocument/2006/relationships/hyperlink" Target="#Photos!A1"/><Relationship Id="rId25" Type="http://schemas.openxmlformats.org/officeDocument/2006/relationships/image" Target="../media/image65.png"/><Relationship Id="rId2" Type="http://schemas.openxmlformats.org/officeDocument/2006/relationships/image" Target="../media/image105.jpeg"/><Relationship Id="rId16" Type="http://schemas.openxmlformats.org/officeDocument/2006/relationships/image" Target="../media/image60.png"/><Relationship Id="rId20" Type="http://schemas.openxmlformats.org/officeDocument/2006/relationships/image" Target="../media/image48.svg"/><Relationship Id="rId1" Type="http://schemas.openxmlformats.org/officeDocument/2006/relationships/hyperlink" Target="#'N-I surfaces'!A1"/><Relationship Id="rId6" Type="http://schemas.openxmlformats.org/officeDocument/2006/relationships/image" Target="../media/image35.png"/><Relationship Id="rId11" Type="http://schemas.openxmlformats.org/officeDocument/2006/relationships/image" Target="../media/image110.png"/><Relationship Id="rId24" Type="http://schemas.openxmlformats.org/officeDocument/2006/relationships/image" Target="../media/image115.png"/><Relationship Id="rId5" Type="http://schemas.openxmlformats.org/officeDocument/2006/relationships/image" Target="../media/image38.png"/><Relationship Id="rId15" Type="http://schemas.openxmlformats.org/officeDocument/2006/relationships/image" Target="../media/image59.png"/><Relationship Id="rId23" Type="http://schemas.openxmlformats.org/officeDocument/2006/relationships/image" Target="../media/image114.png"/><Relationship Id="rId28" Type="http://schemas.openxmlformats.org/officeDocument/2006/relationships/image" Target="../media/image50.svg"/><Relationship Id="rId10" Type="http://schemas.openxmlformats.org/officeDocument/2006/relationships/image" Target="../media/image109.jpeg"/><Relationship Id="rId19" Type="http://schemas.openxmlformats.org/officeDocument/2006/relationships/image" Target="../media/image113.png"/><Relationship Id="rId4" Type="http://schemas.openxmlformats.org/officeDocument/2006/relationships/image" Target="../media/image107.png"/><Relationship Id="rId9" Type="http://schemas.openxmlformats.org/officeDocument/2006/relationships/image" Target="../media/image108.jpeg"/><Relationship Id="rId14" Type="http://schemas.openxmlformats.org/officeDocument/2006/relationships/image" Target="../media/image58.png"/><Relationship Id="rId22" Type="http://schemas.openxmlformats.org/officeDocument/2006/relationships/hyperlink" Target="#Intro!A1"/><Relationship Id="rId27" Type="http://schemas.openxmlformats.org/officeDocument/2006/relationships/image" Target="../media/image116.png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0.emf"/><Relationship Id="rId3" Type="http://schemas.openxmlformats.org/officeDocument/2006/relationships/image" Target="../media/image98.png"/><Relationship Id="rId7" Type="http://schemas.openxmlformats.org/officeDocument/2006/relationships/image" Target="../media/image119.png"/><Relationship Id="rId2" Type="http://schemas.openxmlformats.org/officeDocument/2006/relationships/image" Target="../media/image81.png"/><Relationship Id="rId1" Type="http://schemas.openxmlformats.org/officeDocument/2006/relationships/hyperlink" Target="#Photos!A1"/><Relationship Id="rId6" Type="http://schemas.openxmlformats.org/officeDocument/2006/relationships/image" Target="../media/image118.png"/><Relationship Id="rId5" Type="http://schemas.openxmlformats.org/officeDocument/2006/relationships/image" Target="../media/image117.png"/><Relationship Id="rId4" Type="http://schemas.openxmlformats.org/officeDocument/2006/relationships/image" Target="../media/image48.svg"/><Relationship Id="rId9" Type="http://schemas.openxmlformats.org/officeDocument/2006/relationships/image" Target="../media/image121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0.svg"/><Relationship Id="rId2" Type="http://schemas.openxmlformats.org/officeDocument/2006/relationships/image" Target="../media/image122.png"/><Relationship Id="rId1" Type="http://schemas.openxmlformats.org/officeDocument/2006/relationships/hyperlink" Target="#Intro!A1"/><Relationship Id="rId6" Type="http://schemas.openxmlformats.org/officeDocument/2006/relationships/hyperlink" Target="#Summary!A1"/><Relationship Id="rId5" Type="http://schemas.openxmlformats.org/officeDocument/2006/relationships/image" Target="../media/image123.png"/><Relationship Id="rId4" Type="http://schemas.openxmlformats.org/officeDocument/2006/relationships/hyperlink" Target="#Photos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5.png"/><Relationship Id="rId1" Type="http://schemas.openxmlformats.org/officeDocument/2006/relationships/image" Target="../media/image12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jpeg"/><Relationship Id="rId1" Type="http://schemas.openxmlformats.org/officeDocument/2006/relationships/image" Target="../media/image6.jpe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10" Type="http://schemas.openxmlformats.org/officeDocument/2006/relationships/image" Target="../media/image15.png"/><Relationship Id="rId4" Type="http://schemas.openxmlformats.org/officeDocument/2006/relationships/image" Target="../media/image9.png"/><Relationship Id="rId9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12" Type="http://schemas.openxmlformats.org/officeDocument/2006/relationships/image" Target="../media/image27.png"/><Relationship Id="rId2" Type="http://schemas.openxmlformats.org/officeDocument/2006/relationships/image" Target="../media/image17.png"/><Relationship Id="rId1" Type="http://schemas.openxmlformats.org/officeDocument/2006/relationships/image" Target="../media/image16.jpeg"/><Relationship Id="rId6" Type="http://schemas.openxmlformats.org/officeDocument/2006/relationships/image" Target="../media/image21.png"/><Relationship Id="rId11" Type="http://schemas.openxmlformats.org/officeDocument/2006/relationships/image" Target="../media/image26.png"/><Relationship Id="rId5" Type="http://schemas.openxmlformats.org/officeDocument/2006/relationships/image" Target="../media/image20.png"/><Relationship Id="rId10" Type="http://schemas.openxmlformats.org/officeDocument/2006/relationships/image" Target="../media/image25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0.png"/><Relationship Id="rId7" Type="http://schemas.openxmlformats.org/officeDocument/2006/relationships/image" Target="../media/image34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Relationship Id="rId6" Type="http://schemas.openxmlformats.org/officeDocument/2006/relationships/image" Target="../media/image33.png"/><Relationship Id="rId5" Type="http://schemas.openxmlformats.org/officeDocument/2006/relationships/image" Target="../media/image32.png"/><Relationship Id="rId4" Type="http://schemas.openxmlformats.org/officeDocument/2006/relationships/image" Target="../media/image3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Flange!A1"/><Relationship Id="rId13" Type="http://schemas.openxmlformats.org/officeDocument/2006/relationships/image" Target="../media/image42.jpeg"/><Relationship Id="rId18" Type="http://schemas.openxmlformats.org/officeDocument/2006/relationships/hyperlink" Target="#'Cold energy'!A1"/><Relationship Id="rId26" Type="http://schemas.openxmlformats.org/officeDocument/2006/relationships/hyperlink" Target="#'Others insulated'!A1"/><Relationship Id="rId3" Type="http://schemas.openxmlformats.org/officeDocument/2006/relationships/hyperlink" Target="#Pipe!A1"/><Relationship Id="rId21" Type="http://schemas.openxmlformats.org/officeDocument/2006/relationships/image" Target="../media/image46.png"/><Relationship Id="rId7" Type="http://schemas.openxmlformats.org/officeDocument/2006/relationships/image" Target="../media/image39.png"/><Relationship Id="rId12" Type="http://schemas.openxmlformats.org/officeDocument/2006/relationships/hyperlink" Target="#'I Pipe'!A1"/><Relationship Id="rId17" Type="http://schemas.openxmlformats.org/officeDocument/2006/relationships/image" Target="../media/image44.png"/><Relationship Id="rId25" Type="http://schemas.openxmlformats.org/officeDocument/2006/relationships/image" Target="../media/image48.jpeg"/><Relationship Id="rId2" Type="http://schemas.openxmlformats.org/officeDocument/2006/relationships/image" Target="../media/image36.jpeg"/><Relationship Id="rId16" Type="http://schemas.openxmlformats.org/officeDocument/2006/relationships/hyperlink" Target="#'I Surface'!A1"/><Relationship Id="rId20" Type="http://schemas.openxmlformats.org/officeDocument/2006/relationships/hyperlink" Target="#Others!A1"/><Relationship Id="rId29" Type="http://schemas.openxmlformats.org/officeDocument/2006/relationships/hyperlink" Target="#Cladding!A1"/><Relationship Id="rId1" Type="http://schemas.openxmlformats.org/officeDocument/2006/relationships/hyperlink" Target="#Surface!A1"/><Relationship Id="rId6" Type="http://schemas.openxmlformats.org/officeDocument/2006/relationships/image" Target="../media/image35.png"/><Relationship Id="rId11" Type="http://schemas.openxmlformats.org/officeDocument/2006/relationships/image" Target="../media/image41.png"/><Relationship Id="rId24" Type="http://schemas.openxmlformats.org/officeDocument/2006/relationships/hyperlink" Target="#'Wet Ice'!A1"/><Relationship Id="rId5" Type="http://schemas.openxmlformats.org/officeDocument/2006/relationships/image" Target="../media/image38.png"/><Relationship Id="rId15" Type="http://schemas.openxmlformats.org/officeDocument/2006/relationships/image" Target="../media/image43.png"/><Relationship Id="rId23" Type="http://schemas.openxmlformats.org/officeDocument/2006/relationships/image" Target="../media/image47.png"/><Relationship Id="rId28" Type="http://schemas.openxmlformats.org/officeDocument/2006/relationships/image" Target="../media/image50.png"/><Relationship Id="rId10" Type="http://schemas.openxmlformats.org/officeDocument/2006/relationships/hyperlink" Target="#Valve!A1"/><Relationship Id="rId19" Type="http://schemas.openxmlformats.org/officeDocument/2006/relationships/image" Target="../media/image45.png"/><Relationship Id="rId4" Type="http://schemas.openxmlformats.org/officeDocument/2006/relationships/image" Target="../media/image37.jpeg"/><Relationship Id="rId9" Type="http://schemas.openxmlformats.org/officeDocument/2006/relationships/image" Target="../media/image40.png"/><Relationship Id="rId14" Type="http://schemas.openxmlformats.org/officeDocument/2006/relationships/hyperlink" Target="#Cladding!A1"/><Relationship Id="rId22" Type="http://schemas.openxmlformats.org/officeDocument/2006/relationships/hyperlink" Target="#'Wet Ice'!A1"/><Relationship Id="rId27" Type="http://schemas.openxmlformats.org/officeDocument/2006/relationships/image" Target="../media/image49.jpeg"/><Relationship Id="rId30" Type="http://schemas.openxmlformats.org/officeDocument/2006/relationships/image" Target="../media/image5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76200</xdr:rowOff>
    </xdr:from>
    <xdr:to>
      <xdr:col>10</xdr:col>
      <xdr:colOff>106680</xdr:colOff>
      <xdr:row>3</xdr:row>
      <xdr:rowOff>83820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A6F6EE98-50E8-4F60-8F46-592DC905A776}"/>
            </a:ext>
          </a:extLst>
        </xdr:cNvPr>
        <xdr:cNvSpPr/>
      </xdr:nvSpPr>
      <xdr:spPr>
        <a:xfrm>
          <a:off x="114300" y="228600"/>
          <a:ext cx="2545080" cy="3352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160020</xdr:colOff>
      <xdr:row>1</xdr:row>
      <xdr:rowOff>76200</xdr:rowOff>
    </xdr:from>
    <xdr:to>
      <xdr:col>18</xdr:col>
      <xdr:colOff>144780</xdr:colOff>
      <xdr:row>3</xdr:row>
      <xdr:rowOff>83820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827F37B4-1E16-4E0C-BE77-4E8AD1CC5235}"/>
            </a:ext>
          </a:extLst>
        </xdr:cNvPr>
        <xdr:cNvSpPr/>
      </xdr:nvSpPr>
      <xdr:spPr>
        <a:xfrm>
          <a:off x="2712720" y="228600"/>
          <a:ext cx="2065020" cy="3352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213360</xdr:colOff>
      <xdr:row>1</xdr:row>
      <xdr:rowOff>76200</xdr:rowOff>
    </xdr:from>
    <xdr:to>
      <xdr:col>28</xdr:col>
      <xdr:colOff>45720</xdr:colOff>
      <xdr:row>3</xdr:row>
      <xdr:rowOff>83820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xmlns="" id="{07E5BE15-EE4A-4BC7-9D78-AE28288694C0}"/>
            </a:ext>
          </a:extLst>
        </xdr:cNvPr>
        <xdr:cNvSpPr/>
      </xdr:nvSpPr>
      <xdr:spPr>
        <a:xfrm>
          <a:off x="4846320" y="228600"/>
          <a:ext cx="2065020" cy="3352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29</xdr:col>
      <xdr:colOff>327660</xdr:colOff>
      <xdr:row>1</xdr:row>
      <xdr:rowOff>68580</xdr:rowOff>
    </xdr:from>
    <xdr:to>
      <xdr:col>39</xdr:col>
      <xdr:colOff>137160</xdr:colOff>
      <xdr:row>3</xdr:row>
      <xdr:rowOff>76200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xmlns="" id="{E2D3A8B2-D9DE-4DF9-B0D7-E9DDB7CDA378}"/>
            </a:ext>
          </a:extLst>
        </xdr:cNvPr>
        <xdr:cNvSpPr/>
      </xdr:nvSpPr>
      <xdr:spPr>
        <a:xfrm>
          <a:off x="7414260" y="220980"/>
          <a:ext cx="2354580" cy="3352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40</xdr:col>
      <xdr:colOff>129540</xdr:colOff>
      <xdr:row>1</xdr:row>
      <xdr:rowOff>76200</xdr:rowOff>
    </xdr:from>
    <xdr:to>
      <xdr:col>47</xdr:col>
      <xdr:colOff>236220</xdr:colOff>
      <xdr:row>3</xdr:row>
      <xdr:rowOff>83820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34F3EEAF-EC87-453D-8AE2-8615FE14C81F}"/>
            </a:ext>
          </a:extLst>
        </xdr:cNvPr>
        <xdr:cNvSpPr/>
      </xdr:nvSpPr>
      <xdr:spPr>
        <a:xfrm>
          <a:off x="10157460" y="228600"/>
          <a:ext cx="2057400" cy="3352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458728</xdr:colOff>
      <xdr:row>28</xdr:row>
      <xdr:rowOff>23453</xdr:rowOff>
    </xdr:from>
    <xdr:to>
      <xdr:col>25</xdr:col>
      <xdr:colOff>198110</xdr:colOff>
      <xdr:row>31</xdr:row>
      <xdr:rowOff>121144</xdr:rowOff>
    </xdr:to>
    <xdr:sp macro="" textlink="">
      <xdr:nvSpPr>
        <xdr:cNvPr id="2" name="TextBox 22">
          <a:extLst>
            <a:ext uri="{FF2B5EF4-FFF2-40B4-BE49-F238E27FC236}">
              <a16:creationId xmlns:a16="http://schemas.microsoft.com/office/drawing/2014/main" xmlns="" id="{863BFC52-E920-4749-B15D-2F7E64F98667}"/>
            </a:ext>
          </a:extLst>
        </xdr:cNvPr>
        <xdr:cNvSpPr txBox="1"/>
      </xdr:nvSpPr>
      <xdr:spPr>
        <a:xfrm>
          <a:off x="12018268" y="5365073"/>
          <a:ext cx="1568182" cy="64633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b="1">
              <a:solidFill>
                <a:schemeClr val="bg1"/>
              </a:solidFill>
            </a:rPr>
            <a:t>DAMAGE INSULATION </a:t>
          </a:r>
        </a:p>
      </xdr:txBody>
    </xdr:sp>
    <xdr:clientData/>
  </xdr:twoCellAnchor>
  <xdr:twoCellAnchor editAs="oneCell">
    <xdr:from>
      <xdr:col>15</xdr:col>
      <xdr:colOff>22860</xdr:colOff>
      <xdr:row>21</xdr:row>
      <xdr:rowOff>99060</xdr:rowOff>
    </xdr:from>
    <xdr:to>
      <xdr:col>17</xdr:col>
      <xdr:colOff>84941</xdr:colOff>
      <xdr:row>24</xdr:row>
      <xdr:rowOff>104595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223F6140-3572-408C-9EB9-857EE4FB8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64780" y="4137660"/>
          <a:ext cx="1128881" cy="691335"/>
        </a:xfrm>
        <a:prstGeom prst="rect">
          <a:avLst/>
        </a:prstGeom>
      </xdr:spPr>
    </xdr:pic>
    <xdr:clientData/>
  </xdr:twoCellAnchor>
  <xdr:twoCellAnchor editAs="oneCell">
    <xdr:from>
      <xdr:col>15</xdr:col>
      <xdr:colOff>290203</xdr:colOff>
      <xdr:row>18</xdr:row>
      <xdr:rowOff>99059</xdr:rowOff>
    </xdr:from>
    <xdr:to>
      <xdr:col>16</xdr:col>
      <xdr:colOff>60958</xdr:colOff>
      <xdr:row>20</xdr:row>
      <xdr:rowOff>53340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F8A1511-D853-421A-9385-707D788A3F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 flipH="1">
          <a:off x="8032123" y="3589019"/>
          <a:ext cx="304155" cy="32004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18</xdr:row>
      <xdr:rowOff>7620</xdr:rowOff>
    </xdr:from>
    <xdr:to>
      <xdr:col>17</xdr:col>
      <xdr:colOff>38100</xdr:colOff>
      <xdr:row>20</xdr:row>
      <xdr:rowOff>121920</xdr:rowOff>
    </xdr:to>
    <xdr:pic>
      <xdr:nvPicPr>
        <xdr:cNvPr id="5" name="Graphic 4" descr="Open Folder">
          <a:extLst>
            <a:ext uri="{FF2B5EF4-FFF2-40B4-BE49-F238E27FC236}">
              <a16:creationId xmlns:a16="http://schemas.microsoft.com/office/drawing/2014/main" xmlns="" id="{CBD81205-2CB0-48EE-821B-6E98AE538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8389620" y="3497580"/>
          <a:ext cx="457200" cy="48006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458728</xdr:colOff>
      <xdr:row>28</xdr:row>
      <xdr:rowOff>23453</xdr:rowOff>
    </xdr:from>
    <xdr:to>
      <xdr:col>25</xdr:col>
      <xdr:colOff>198110</xdr:colOff>
      <xdr:row>31</xdr:row>
      <xdr:rowOff>121144</xdr:rowOff>
    </xdr:to>
    <xdr:sp macro="" textlink="">
      <xdr:nvSpPr>
        <xdr:cNvPr id="2" name="TextBox 22">
          <a:extLst>
            <a:ext uri="{FF2B5EF4-FFF2-40B4-BE49-F238E27FC236}">
              <a16:creationId xmlns:a16="http://schemas.microsoft.com/office/drawing/2014/main" xmlns="" id="{928AAD3D-4731-4AD2-91D7-4BCD6DE17318}"/>
            </a:ext>
          </a:extLst>
        </xdr:cNvPr>
        <xdr:cNvSpPr txBox="1"/>
      </xdr:nvSpPr>
      <xdr:spPr>
        <a:xfrm>
          <a:off x="12018268" y="5365073"/>
          <a:ext cx="1568182" cy="64633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b="1">
              <a:solidFill>
                <a:schemeClr val="bg1"/>
              </a:solidFill>
            </a:rPr>
            <a:t>DAMAGE INSULATION </a:t>
          </a:r>
        </a:p>
      </xdr:txBody>
    </xdr:sp>
    <xdr:clientData/>
  </xdr:twoCellAnchor>
  <xdr:twoCellAnchor editAs="oneCell">
    <xdr:from>
      <xdr:col>15</xdr:col>
      <xdr:colOff>91440</xdr:colOff>
      <xdr:row>21</xdr:row>
      <xdr:rowOff>137160</xdr:rowOff>
    </xdr:from>
    <xdr:to>
      <xdr:col>17</xdr:col>
      <xdr:colOff>153521</xdr:colOff>
      <xdr:row>25</xdr:row>
      <xdr:rowOff>119835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0A35E19-59A2-4AE0-AEDC-AF03B13C7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33360" y="4175760"/>
          <a:ext cx="1128881" cy="737055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18</xdr:row>
      <xdr:rowOff>7620</xdr:rowOff>
    </xdr:from>
    <xdr:to>
      <xdr:col>17</xdr:col>
      <xdr:colOff>38100</xdr:colOff>
      <xdr:row>20</xdr:row>
      <xdr:rowOff>121920</xdr:rowOff>
    </xdr:to>
    <xdr:pic>
      <xdr:nvPicPr>
        <xdr:cNvPr id="5" name="Graphic 4" descr="Open Folder">
          <a:extLst>
            <a:ext uri="{FF2B5EF4-FFF2-40B4-BE49-F238E27FC236}">
              <a16:creationId xmlns:a16="http://schemas.microsoft.com/office/drawing/2014/main" xmlns="" id="{AB3DCB65-5C97-4003-98CF-4BF7B1EFB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8389620" y="3497580"/>
          <a:ext cx="457200" cy="4800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458728</xdr:colOff>
      <xdr:row>30</xdr:row>
      <xdr:rowOff>23453</xdr:rowOff>
    </xdr:from>
    <xdr:to>
      <xdr:col>27</xdr:col>
      <xdr:colOff>198110</xdr:colOff>
      <xdr:row>33</xdr:row>
      <xdr:rowOff>121144</xdr:rowOff>
    </xdr:to>
    <xdr:sp macro="" textlink="">
      <xdr:nvSpPr>
        <xdr:cNvPr id="2" name="TextBox 22">
          <a:extLst>
            <a:ext uri="{FF2B5EF4-FFF2-40B4-BE49-F238E27FC236}">
              <a16:creationId xmlns:a16="http://schemas.microsoft.com/office/drawing/2014/main" xmlns="" id="{B8803872-82AD-47E8-8509-24E196ABC45B}"/>
            </a:ext>
          </a:extLst>
        </xdr:cNvPr>
        <xdr:cNvSpPr txBox="1"/>
      </xdr:nvSpPr>
      <xdr:spPr>
        <a:xfrm>
          <a:off x="13016488" y="5433653"/>
          <a:ext cx="1141462" cy="64633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b="1">
              <a:solidFill>
                <a:schemeClr val="bg1"/>
              </a:solidFill>
            </a:rPr>
            <a:t>DAMAGE INSULATION </a:t>
          </a:r>
        </a:p>
      </xdr:txBody>
    </xdr:sp>
    <xdr:clientData/>
  </xdr:twoCellAnchor>
  <xdr:twoCellAnchor editAs="oneCell">
    <xdr:from>
      <xdr:col>17</xdr:col>
      <xdr:colOff>22860</xdr:colOff>
      <xdr:row>25</xdr:row>
      <xdr:rowOff>45720</xdr:rowOff>
    </xdr:from>
    <xdr:to>
      <xdr:col>18</xdr:col>
      <xdr:colOff>99060</xdr:colOff>
      <xdr:row>28</xdr:row>
      <xdr:rowOff>99060</xdr:rowOff>
    </xdr:to>
    <xdr:pic>
      <xdr:nvPicPr>
        <xdr:cNvPr id="3" name="Graphic 2" descr="Shar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49CB8AD2-6BA2-461D-83B9-6FB085688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8930640" y="4495800"/>
          <a:ext cx="510540" cy="601980"/>
        </a:xfrm>
        <a:prstGeom prst="rect">
          <a:avLst/>
        </a:prstGeom>
      </xdr:spPr>
    </xdr:pic>
    <xdr:clientData/>
  </xdr:twoCellAnchor>
  <xdr:twoCellAnchor editAs="oneCell">
    <xdr:from>
      <xdr:col>18</xdr:col>
      <xdr:colOff>34972</xdr:colOff>
      <xdr:row>13</xdr:row>
      <xdr:rowOff>50570</xdr:rowOff>
    </xdr:from>
    <xdr:to>
      <xdr:col>18</xdr:col>
      <xdr:colOff>337011</xdr:colOff>
      <xdr:row>14</xdr:row>
      <xdr:rowOff>170757</xdr:rowOff>
    </xdr:to>
    <xdr:pic>
      <xdr:nvPicPr>
        <xdr:cNvPr id="4" name="Picture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78C4B031-2A5D-43B8-95F1-25486C21A3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/>
        <a:srcRect t="4629"/>
        <a:stretch/>
      </xdr:blipFill>
      <xdr:spPr>
        <a:xfrm>
          <a:off x="9377092" y="2313710"/>
          <a:ext cx="302039" cy="303067"/>
        </a:xfrm>
        <a:prstGeom prst="rect">
          <a:avLst/>
        </a:prstGeom>
      </xdr:spPr>
    </xdr:pic>
    <xdr:clientData/>
  </xdr:twoCellAnchor>
  <xdr:twoCellAnchor>
    <xdr:from>
      <xdr:col>0</xdr:col>
      <xdr:colOff>220980</xdr:colOff>
      <xdr:row>0</xdr:row>
      <xdr:rowOff>175260</xdr:rowOff>
    </xdr:from>
    <xdr:to>
      <xdr:col>3</xdr:col>
      <xdr:colOff>603893</xdr:colOff>
      <xdr:row>2</xdr:row>
      <xdr:rowOff>53340</xdr:rowOff>
    </xdr:to>
    <xdr:sp macro="" textlink="">
      <xdr:nvSpPr>
        <xdr:cNvPr id="5" name="Flowchart: Terminator 4">
          <a:extLst>
            <a:ext uri="{FF2B5EF4-FFF2-40B4-BE49-F238E27FC236}">
              <a16:creationId xmlns:a16="http://schemas.microsoft.com/office/drawing/2014/main" xmlns="" id="{80DE4473-F499-48D0-AB88-180C10AD9FD0}"/>
            </a:ext>
          </a:extLst>
        </xdr:cNvPr>
        <xdr:cNvSpPr/>
      </xdr:nvSpPr>
      <xdr:spPr>
        <a:xfrm>
          <a:off x="220980" y="175260"/>
          <a:ext cx="1708793" cy="274320"/>
        </a:xfrm>
        <a:prstGeom prst="flowChartTerminator">
          <a:avLst/>
        </a:prstGeom>
        <a:solidFill>
          <a:schemeClr val="accent1">
            <a:lumMod val="60000"/>
            <a:lumOff val="4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basic</a:t>
          </a:r>
          <a:r>
            <a:rPr lang="en-GB" sz="1100" baseline="0"/>
            <a:t> report </a:t>
          </a:r>
          <a:endParaRPr lang="en-GB" sz="1100"/>
        </a:p>
      </xdr:txBody>
    </xdr:sp>
    <xdr:clientData/>
  </xdr:twoCellAnchor>
  <xdr:twoCellAnchor>
    <xdr:from>
      <xdr:col>17</xdr:col>
      <xdr:colOff>68580</xdr:colOff>
      <xdr:row>1</xdr:row>
      <xdr:rowOff>114300</xdr:rowOff>
    </xdr:from>
    <xdr:to>
      <xdr:col>18</xdr:col>
      <xdr:colOff>320040</xdr:colOff>
      <xdr:row>3</xdr:row>
      <xdr:rowOff>38100</xdr:rowOff>
    </xdr:to>
    <xdr:sp macro="" textlink="">
      <xdr:nvSpPr>
        <xdr:cNvPr id="7" name="Flowchart: Terminator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xmlns="" id="{C69523FC-A3BC-4309-8FB0-641A642F588B}"/>
            </a:ext>
          </a:extLst>
        </xdr:cNvPr>
        <xdr:cNvSpPr/>
      </xdr:nvSpPr>
      <xdr:spPr>
        <a:xfrm>
          <a:off x="8976360" y="297180"/>
          <a:ext cx="685800" cy="213360"/>
        </a:xfrm>
        <a:prstGeom prst="flowChartTerminator">
          <a:avLst/>
        </a:prstGeom>
        <a:solidFill>
          <a:schemeClr val="accent6">
            <a:lumMod val="5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 b="1"/>
            <a:t>End 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458728</xdr:colOff>
      <xdr:row>28</xdr:row>
      <xdr:rowOff>23453</xdr:rowOff>
    </xdr:from>
    <xdr:to>
      <xdr:col>26</xdr:col>
      <xdr:colOff>198110</xdr:colOff>
      <xdr:row>33</xdr:row>
      <xdr:rowOff>121144</xdr:rowOff>
    </xdr:to>
    <xdr:sp macro="" textlink="">
      <xdr:nvSpPr>
        <xdr:cNvPr id="2" name="TextBox 22">
          <a:extLst>
            <a:ext uri="{FF2B5EF4-FFF2-40B4-BE49-F238E27FC236}">
              <a16:creationId xmlns:a16="http://schemas.microsoft.com/office/drawing/2014/main" xmlns="" id="{09D0FD8F-3DFA-46BE-A4C8-B071DE91DB08}"/>
            </a:ext>
          </a:extLst>
        </xdr:cNvPr>
        <xdr:cNvSpPr txBox="1"/>
      </xdr:nvSpPr>
      <xdr:spPr>
        <a:xfrm>
          <a:off x="13748008" y="5258393"/>
          <a:ext cx="1568182" cy="64633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b="1">
              <a:solidFill>
                <a:schemeClr val="bg1"/>
              </a:solidFill>
            </a:rPr>
            <a:t>DAMAGE INSULATION </a:t>
          </a:r>
        </a:p>
      </xdr:txBody>
    </xdr:sp>
    <xdr:clientData/>
  </xdr:twoCellAnchor>
  <xdr:twoCellAnchor>
    <xdr:from>
      <xdr:col>23</xdr:col>
      <xdr:colOff>458728</xdr:colOff>
      <xdr:row>28</xdr:row>
      <xdr:rowOff>23453</xdr:rowOff>
    </xdr:from>
    <xdr:to>
      <xdr:col>26</xdr:col>
      <xdr:colOff>198110</xdr:colOff>
      <xdr:row>33</xdr:row>
      <xdr:rowOff>121144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xmlns="" id="{56B8BCD9-7FB7-48BA-B355-4B420DFAB484}"/>
            </a:ext>
          </a:extLst>
        </xdr:cNvPr>
        <xdr:cNvSpPr txBox="1"/>
      </xdr:nvSpPr>
      <xdr:spPr>
        <a:xfrm>
          <a:off x="13748008" y="5258393"/>
          <a:ext cx="1568182" cy="64633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b="1">
              <a:solidFill>
                <a:schemeClr val="bg1"/>
              </a:solidFill>
            </a:rPr>
            <a:t>DAMAGE INSULATION </a:t>
          </a:r>
        </a:p>
      </xdr:txBody>
    </xdr:sp>
    <xdr:clientData/>
  </xdr:twoCellAnchor>
  <xdr:twoCellAnchor>
    <xdr:from>
      <xdr:col>3</xdr:col>
      <xdr:colOff>175952</xdr:colOff>
      <xdr:row>4</xdr:row>
      <xdr:rowOff>72044</xdr:rowOff>
    </xdr:from>
    <xdr:to>
      <xdr:col>18</xdr:col>
      <xdr:colOff>380999</xdr:colOff>
      <xdr:row>7</xdr:row>
      <xdr:rowOff>7620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xmlns="" id="{1D5E5CCC-D35A-4D79-989D-D1FDA925E8AA}"/>
            </a:ext>
          </a:extLst>
        </xdr:cNvPr>
        <xdr:cNvCxnSpPr/>
      </xdr:nvCxnSpPr>
      <xdr:spPr>
        <a:xfrm flipH="1">
          <a:off x="1935479" y="750917"/>
          <a:ext cx="9065029" cy="517467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220980</xdr:colOff>
      <xdr:row>14</xdr:row>
      <xdr:rowOff>114300</xdr:rowOff>
    </xdr:from>
    <xdr:to>
      <xdr:col>4</xdr:col>
      <xdr:colOff>205740</xdr:colOff>
      <xdr:row>36</xdr:row>
      <xdr:rowOff>137160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xmlns="" id="{D8572807-41B4-4480-914F-C63A73C70AA8}"/>
            </a:ext>
          </a:extLst>
        </xdr:cNvPr>
        <xdr:cNvCxnSpPr/>
      </xdr:nvCxnSpPr>
      <xdr:spPr>
        <a:xfrm flipV="1">
          <a:off x="220980" y="2689860"/>
          <a:ext cx="2339340" cy="3802380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38101</xdr:colOff>
      <xdr:row>42</xdr:row>
      <xdr:rowOff>243842</xdr:rowOff>
    </xdr:from>
    <xdr:to>
      <xdr:col>10</xdr:col>
      <xdr:colOff>533400</xdr:colOff>
      <xdr:row>42</xdr:row>
      <xdr:rowOff>696084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xmlns="" id="{2E8F0D3F-30CE-4A38-AFD2-254BB9616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4561" y="7696202"/>
          <a:ext cx="495299" cy="452242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42</xdr:row>
      <xdr:rowOff>12896</xdr:rowOff>
    </xdr:from>
    <xdr:to>
      <xdr:col>10</xdr:col>
      <xdr:colOff>510540</xdr:colOff>
      <xdr:row>42</xdr:row>
      <xdr:rowOff>334426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xmlns="" id="{925D1595-E772-493C-BAD5-50EA5CEACB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4833" b="30717"/>
        <a:stretch/>
      </xdr:blipFill>
      <xdr:spPr>
        <a:xfrm>
          <a:off x="6004560" y="7465256"/>
          <a:ext cx="472440" cy="321530"/>
        </a:xfrm>
        <a:prstGeom prst="rect">
          <a:avLst/>
        </a:prstGeom>
      </xdr:spPr>
    </xdr:pic>
    <xdr:clientData/>
  </xdr:twoCellAnchor>
  <xdr:twoCellAnchor editAs="oneCell">
    <xdr:from>
      <xdr:col>9</xdr:col>
      <xdr:colOff>42381</xdr:colOff>
      <xdr:row>42</xdr:row>
      <xdr:rowOff>22860</xdr:rowOff>
    </xdr:from>
    <xdr:to>
      <xdr:col>10</xdr:col>
      <xdr:colOff>7622</xdr:colOff>
      <xdr:row>42</xdr:row>
      <xdr:rowOff>1120139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xmlns="" id="{1DE69580-ADE7-46BC-B48D-3AB99A984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6200000">
          <a:off x="5141832" y="7740249"/>
          <a:ext cx="1097279" cy="567221"/>
        </a:xfrm>
        <a:prstGeom prst="rect">
          <a:avLst/>
        </a:prstGeom>
      </xdr:spPr>
    </xdr:pic>
    <xdr:clientData/>
  </xdr:twoCellAnchor>
  <xdr:twoCellAnchor editAs="oneCell">
    <xdr:from>
      <xdr:col>12</xdr:col>
      <xdr:colOff>228604</xdr:colOff>
      <xdr:row>41</xdr:row>
      <xdr:rowOff>7618</xdr:rowOff>
    </xdr:from>
    <xdr:to>
      <xdr:col>12</xdr:col>
      <xdr:colOff>579126</xdr:colOff>
      <xdr:row>42</xdr:row>
      <xdr:rowOff>1196587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xmlns="" id="{9D6338F2-D635-4626-B794-CD03DA035D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5881" b="71395"/>
        <a:stretch/>
      </xdr:blipFill>
      <xdr:spPr>
        <a:xfrm rot="16200000">
          <a:off x="6758820" y="7787762"/>
          <a:ext cx="1371849" cy="350522"/>
        </a:xfrm>
        <a:prstGeom prst="rect">
          <a:avLst/>
        </a:prstGeom>
      </xdr:spPr>
    </xdr:pic>
    <xdr:clientData/>
  </xdr:twoCellAnchor>
  <xdr:twoCellAnchor editAs="oneCell">
    <xdr:from>
      <xdr:col>11</xdr:col>
      <xdr:colOff>156215</xdr:colOff>
      <xdr:row>42</xdr:row>
      <xdr:rowOff>91442</xdr:rowOff>
    </xdr:from>
    <xdr:to>
      <xdr:col>11</xdr:col>
      <xdr:colOff>411484</xdr:colOff>
      <xdr:row>42</xdr:row>
      <xdr:rowOff>1154432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xmlns="" id="{FCEB339E-8144-4B27-BF17-2C0CD34FF8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3193" t="6336" r="42544" b="83935"/>
        <a:stretch/>
      </xdr:blipFill>
      <xdr:spPr>
        <a:xfrm rot="16200000">
          <a:off x="6320795" y="7947662"/>
          <a:ext cx="1062990" cy="255269"/>
        </a:xfrm>
        <a:prstGeom prst="rect">
          <a:avLst/>
        </a:prstGeom>
      </xdr:spPr>
    </xdr:pic>
    <xdr:clientData/>
  </xdr:twoCellAnchor>
  <xdr:twoCellAnchor editAs="oneCell">
    <xdr:from>
      <xdr:col>1</xdr:col>
      <xdr:colOff>350520</xdr:colOff>
      <xdr:row>6</xdr:row>
      <xdr:rowOff>68581</xdr:rowOff>
    </xdr:from>
    <xdr:to>
      <xdr:col>2</xdr:col>
      <xdr:colOff>388620</xdr:colOff>
      <xdr:row>8</xdr:row>
      <xdr:rowOff>114301</xdr:rowOff>
    </xdr:to>
    <xdr:pic>
      <xdr:nvPicPr>
        <xdr:cNvPr id="35" name="Picture 3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xmlns="" id="{E497B8EB-884D-4E8F-B44A-8C84B78C4F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/>
        <a:srcRect t="4629"/>
        <a:stretch/>
      </xdr:blipFill>
      <xdr:spPr>
        <a:xfrm>
          <a:off x="708660" y="998221"/>
          <a:ext cx="396240" cy="42672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68580</xdr:rowOff>
    </xdr:from>
    <xdr:to>
      <xdr:col>4</xdr:col>
      <xdr:colOff>0</xdr:colOff>
      <xdr:row>2</xdr:row>
      <xdr:rowOff>0</xdr:rowOff>
    </xdr:to>
    <xdr:sp macro="" textlink="">
      <xdr:nvSpPr>
        <xdr:cNvPr id="37" name="Rectangle: Top Corners One Rounded and One Snipped 36">
          <a:extLst>
            <a:ext uri="{FF2B5EF4-FFF2-40B4-BE49-F238E27FC236}">
              <a16:creationId xmlns:a16="http://schemas.microsoft.com/office/drawing/2014/main" xmlns="" id="{168E5904-913C-4DFF-9E8D-05580F0A38A8}"/>
            </a:ext>
          </a:extLst>
        </xdr:cNvPr>
        <xdr:cNvSpPr/>
      </xdr:nvSpPr>
      <xdr:spPr>
        <a:xfrm>
          <a:off x="502920" y="68580"/>
          <a:ext cx="1851660" cy="312420"/>
        </a:xfrm>
        <a:prstGeom prst="snipRoundRect">
          <a:avLst/>
        </a:prstGeom>
        <a:solidFill>
          <a:schemeClr val="accent1">
            <a:lumMod val="60000"/>
            <a:lumOff val="40000"/>
          </a:schemeClr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 insulated Surface</a:t>
          </a:r>
        </a:p>
      </xdr:txBody>
    </xdr:sp>
    <xdr:clientData/>
  </xdr:twoCellAnchor>
  <xdr:twoCellAnchor>
    <xdr:from>
      <xdr:col>7</xdr:col>
      <xdr:colOff>518360</xdr:colOff>
      <xdr:row>22</xdr:row>
      <xdr:rowOff>106680</xdr:rowOff>
    </xdr:from>
    <xdr:to>
      <xdr:col>10</xdr:col>
      <xdr:colOff>466182</xdr:colOff>
      <xdr:row>24</xdr:row>
      <xdr:rowOff>91440</xdr:rowOff>
    </xdr:to>
    <xdr:sp macro="" textlink="">
      <xdr:nvSpPr>
        <xdr:cNvPr id="38" name="Flowchart: Terminator 37">
          <a:extLst>
            <a:ext uri="{FF2B5EF4-FFF2-40B4-BE49-F238E27FC236}">
              <a16:creationId xmlns:a16="http://schemas.microsoft.com/office/drawing/2014/main" xmlns="" id="{DDAF9AE9-B49C-4537-A217-613716523370}"/>
            </a:ext>
          </a:extLst>
        </xdr:cNvPr>
        <xdr:cNvSpPr/>
      </xdr:nvSpPr>
      <xdr:spPr>
        <a:xfrm>
          <a:off x="4282640" y="4084320"/>
          <a:ext cx="1753762" cy="365760"/>
        </a:xfrm>
        <a:prstGeom prst="flowChartTerminator">
          <a:avLst/>
        </a:prstGeom>
        <a:solidFill>
          <a:schemeClr val="accent1">
            <a:lumMod val="60000"/>
            <a:lumOff val="4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/>
            <a:t>Comments</a:t>
          </a:r>
          <a:r>
            <a:rPr lang="en-GB" sz="1100"/>
            <a:t> </a:t>
          </a:r>
        </a:p>
      </xdr:txBody>
    </xdr:sp>
    <xdr:clientData/>
  </xdr:twoCellAnchor>
  <xdr:twoCellAnchor>
    <xdr:from>
      <xdr:col>7</xdr:col>
      <xdr:colOff>494264</xdr:colOff>
      <xdr:row>19</xdr:row>
      <xdr:rowOff>91440</xdr:rowOff>
    </xdr:from>
    <xdr:to>
      <xdr:col>10</xdr:col>
      <xdr:colOff>449580</xdr:colOff>
      <xdr:row>21</xdr:row>
      <xdr:rowOff>91440</xdr:rowOff>
    </xdr:to>
    <xdr:sp macro="" textlink="">
      <xdr:nvSpPr>
        <xdr:cNvPr id="39" name="Flowchart: Terminator 38">
          <a:extLst>
            <a:ext uri="{FF2B5EF4-FFF2-40B4-BE49-F238E27FC236}">
              <a16:creationId xmlns:a16="http://schemas.microsoft.com/office/drawing/2014/main" xmlns="" id="{2BD910A4-A99A-4A4F-A0A6-483677938A06}"/>
            </a:ext>
          </a:extLst>
        </xdr:cNvPr>
        <xdr:cNvSpPr/>
      </xdr:nvSpPr>
      <xdr:spPr>
        <a:xfrm>
          <a:off x="4258544" y="3497580"/>
          <a:ext cx="1761256" cy="381000"/>
        </a:xfrm>
        <a:prstGeom prst="flowChartTerminator">
          <a:avLst/>
        </a:prstGeom>
        <a:solidFill>
          <a:schemeClr val="accent1">
            <a:lumMod val="60000"/>
            <a:lumOff val="4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/>
            <a:t>Space issue</a:t>
          </a:r>
          <a:endParaRPr lang="en-GB" sz="1100"/>
        </a:p>
      </xdr:txBody>
    </xdr:sp>
    <xdr:clientData/>
  </xdr:twoCellAnchor>
  <xdr:twoCellAnchor>
    <xdr:from>
      <xdr:col>7</xdr:col>
      <xdr:colOff>510540</xdr:colOff>
      <xdr:row>16</xdr:row>
      <xdr:rowOff>91440</xdr:rowOff>
    </xdr:from>
    <xdr:to>
      <xdr:col>10</xdr:col>
      <xdr:colOff>413393</xdr:colOff>
      <xdr:row>18</xdr:row>
      <xdr:rowOff>83820</xdr:rowOff>
    </xdr:to>
    <xdr:sp macro="" textlink="">
      <xdr:nvSpPr>
        <xdr:cNvPr id="40" name="Flowchart: Terminator 39">
          <a:extLst>
            <a:ext uri="{FF2B5EF4-FFF2-40B4-BE49-F238E27FC236}">
              <a16:creationId xmlns:a16="http://schemas.microsoft.com/office/drawing/2014/main" xmlns="" id="{90D1878E-9A40-4035-85DB-46C5616EA2D6}"/>
            </a:ext>
          </a:extLst>
        </xdr:cNvPr>
        <xdr:cNvSpPr/>
      </xdr:nvSpPr>
      <xdr:spPr>
        <a:xfrm>
          <a:off x="4274820" y="2926080"/>
          <a:ext cx="1708793" cy="373380"/>
        </a:xfrm>
        <a:prstGeom prst="flowChartTerminator">
          <a:avLst/>
        </a:prstGeom>
        <a:solidFill>
          <a:schemeClr val="accent1">
            <a:lumMod val="60000"/>
            <a:lumOff val="4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/>
            <a:t>Operational</a:t>
          </a:r>
          <a:r>
            <a:rPr lang="en-GB" sz="1600" baseline="0"/>
            <a:t> </a:t>
          </a:r>
          <a:r>
            <a:rPr lang="en-GB" sz="1600"/>
            <a:t> risk </a:t>
          </a:r>
          <a:r>
            <a:rPr lang="en-GB" sz="1100"/>
            <a:t> </a:t>
          </a:r>
        </a:p>
      </xdr:txBody>
    </xdr:sp>
    <xdr:clientData/>
  </xdr:twoCellAnchor>
  <xdr:twoCellAnchor>
    <xdr:from>
      <xdr:col>7</xdr:col>
      <xdr:colOff>533400</xdr:colOff>
      <xdr:row>13</xdr:row>
      <xdr:rowOff>38100</xdr:rowOff>
    </xdr:from>
    <xdr:to>
      <xdr:col>10</xdr:col>
      <xdr:colOff>436253</xdr:colOff>
      <xdr:row>15</xdr:row>
      <xdr:rowOff>30480</xdr:rowOff>
    </xdr:to>
    <xdr:sp macro="" textlink="">
      <xdr:nvSpPr>
        <xdr:cNvPr id="41" name="Flowchart: Terminator 40">
          <a:extLst>
            <a:ext uri="{FF2B5EF4-FFF2-40B4-BE49-F238E27FC236}">
              <a16:creationId xmlns:a16="http://schemas.microsoft.com/office/drawing/2014/main" xmlns="" id="{28252B1A-1388-4FB2-8775-14F37389A069}"/>
            </a:ext>
          </a:extLst>
        </xdr:cNvPr>
        <xdr:cNvSpPr/>
      </xdr:nvSpPr>
      <xdr:spPr>
        <a:xfrm>
          <a:off x="4297680" y="2301240"/>
          <a:ext cx="1708793" cy="373380"/>
        </a:xfrm>
        <a:prstGeom prst="flowChartTerminator">
          <a:avLst/>
        </a:prstGeom>
        <a:solidFill>
          <a:schemeClr val="accent1">
            <a:lumMod val="60000"/>
            <a:lumOff val="4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/>
            <a:t>Safety risk </a:t>
          </a:r>
          <a:r>
            <a:rPr lang="en-GB" sz="1100"/>
            <a:t> </a:t>
          </a:r>
        </a:p>
      </xdr:txBody>
    </xdr:sp>
    <xdr:clientData/>
  </xdr:twoCellAnchor>
  <xdr:twoCellAnchor editAs="oneCell">
    <xdr:from>
      <xdr:col>2</xdr:col>
      <xdr:colOff>556260</xdr:colOff>
      <xdr:row>6</xdr:row>
      <xdr:rowOff>53340</xdr:rowOff>
    </xdr:from>
    <xdr:to>
      <xdr:col>3</xdr:col>
      <xdr:colOff>106680</xdr:colOff>
      <xdr:row>8</xdr:row>
      <xdr:rowOff>114300</xdr:rowOff>
    </xdr:to>
    <xdr:pic>
      <xdr:nvPicPr>
        <xdr:cNvPr id="42" name="Graphic 41" descr="Open Folder">
          <a:extLst>
            <a:ext uri="{FF2B5EF4-FFF2-40B4-BE49-F238E27FC236}">
              <a16:creationId xmlns:a16="http://schemas.microsoft.com/office/drawing/2014/main" xmlns="" id="{291D5570-C780-422F-B524-3DD849592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9"/>
            </a:ext>
          </a:extLst>
        </a:blip>
        <a:stretch>
          <a:fillRect/>
        </a:stretch>
      </xdr:blipFill>
      <xdr:spPr>
        <a:xfrm>
          <a:off x="1272540" y="982980"/>
          <a:ext cx="441960" cy="441960"/>
        </a:xfrm>
        <a:prstGeom prst="rect">
          <a:avLst/>
        </a:prstGeom>
      </xdr:spPr>
    </xdr:pic>
    <xdr:clientData/>
  </xdr:twoCellAnchor>
  <xdr:twoCellAnchor>
    <xdr:from>
      <xdr:col>16</xdr:col>
      <xdr:colOff>312420</xdr:colOff>
      <xdr:row>0</xdr:row>
      <xdr:rowOff>99060</xdr:rowOff>
    </xdr:from>
    <xdr:to>
      <xdr:col>18</xdr:col>
      <xdr:colOff>7620</xdr:colOff>
      <xdr:row>1</xdr:row>
      <xdr:rowOff>121920</xdr:rowOff>
    </xdr:to>
    <xdr:sp macro="" textlink="">
      <xdr:nvSpPr>
        <xdr:cNvPr id="43" name="Flowchart: Terminator 4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xmlns="" id="{CFE9A3D7-FD0B-46A1-922F-36B09CB8CF48}"/>
            </a:ext>
          </a:extLst>
        </xdr:cNvPr>
        <xdr:cNvSpPr/>
      </xdr:nvSpPr>
      <xdr:spPr>
        <a:xfrm>
          <a:off x="9685020" y="99060"/>
          <a:ext cx="685800" cy="213360"/>
        </a:xfrm>
        <a:prstGeom prst="flowChartTerminator">
          <a:avLst/>
        </a:prstGeom>
        <a:solidFill>
          <a:schemeClr val="accent6">
            <a:lumMod val="5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 b="1"/>
            <a:t>End </a:t>
          </a:r>
        </a:p>
      </xdr:txBody>
    </xdr:sp>
    <xdr:clientData/>
  </xdr:twoCellAnchor>
  <xdr:twoCellAnchor>
    <xdr:from>
      <xdr:col>15</xdr:col>
      <xdr:colOff>68580</xdr:colOff>
      <xdr:row>0</xdr:row>
      <xdr:rowOff>91440</xdr:rowOff>
    </xdr:from>
    <xdr:to>
      <xdr:col>16</xdr:col>
      <xdr:colOff>160020</xdr:colOff>
      <xdr:row>1</xdr:row>
      <xdr:rowOff>121920</xdr:rowOff>
    </xdr:to>
    <xdr:sp macro="" textlink="">
      <xdr:nvSpPr>
        <xdr:cNvPr id="44" name="Flowchart: Terminator 4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xmlns="" id="{4B1C4268-D876-4AFB-BC8B-A9FB9A75C525}"/>
            </a:ext>
          </a:extLst>
        </xdr:cNvPr>
        <xdr:cNvSpPr/>
      </xdr:nvSpPr>
      <xdr:spPr>
        <a:xfrm>
          <a:off x="8839200" y="91440"/>
          <a:ext cx="693420" cy="220980"/>
        </a:xfrm>
        <a:prstGeom prst="flowChartTerminator">
          <a:avLst/>
        </a:prstGeom>
        <a:solidFill>
          <a:schemeClr val="accent6"/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 b="1"/>
            <a:t>New   </a:t>
          </a:r>
        </a:p>
      </xdr:txBody>
    </xdr:sp>
    <xdr:clientData/>
  </xdr:twoCellAnchor>
  <xdr:twoCellAnchor editAs="oneCell">
    <xdr:from>
      <xdr:col>4</xdr:col>
      <xdr:colOff>129540</xdr:colOff>
      <xdr:row>12</xdr:row>
      <xdr:rowOff>15240</xdr:rowOff>
    </xdr:from>
    <xdr:to>
      <xdr:col>4</xdr:col>
      <xdr:colOff>477353</xdr:colOff>
      <xdr:row>13</xdr:row>
      <xdr:rowOff>175260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xmlns="" id="{20EA57AD-5BDF-4A47-960B-FDE252DCC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2484120" y="2209800"/>
          <a:ext cx="347813" cy="350520"/>
        </a:xfrm>
        <a:prstGeom prst="rect">
          <a:avLst/>
        </a:prstGeom>
      </xdr:spPr>
    </xdr:pic>
    <xdr:clientData/>
  </xdr:twoCellAnchor>
  <xdr:twoCellAnchor>
    <xdr:from>
      <xdr:col>2</xdr:col>
      <xdr:colOff>83820</xdr:colOff>
      <xdr:row>38</xdr:row>
      <xdr:rowOff>60960</xdr:rowOff>
    </xdr:from>
    <xdr:to>
      <xdr:col>2</xdr:col>
      <xdr:colOff>358140</xdr:colOff>
      <xdr:row>40</xdr:row>
      <xdr:rowOff>83820</xdr:rowOff>
    </xdr:to>
    <xdr:sp macro="" textlink="">
      <xdr:nvSpPr>
        <xdr:cNvPr id="6" name="Cube 5">
          <a:extLst>
            <a:ext uri="{FF2B5EF4-FFF2-40B4-BE49-F238E27FC236}">
              <a16:creationId xmlns:a16="http://schemas.microsoft.com/office/drawing/2014/main" xmlns="" id="{6DA71E63-28EE-4D8B-9D51-875AD7194704}"/>
            </a:ext>
          </a:extLst>
        </xdr:cNvPr>
        <xdr:cNvSpPr/>
      </xdr:nvSpPr>
      <xdr:spPr>
        <a:xfrm>
          <a:off x="944880" y="7147560"/>
          <a:ext cx="274320" cy="388620"/>
        </a:xfrm>
        <a:prstGeom prst="cub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</xdr:col>
      <xdr:colOff>40179</xdr:colOff>
      <xdr:row>24</xdr:row>
      <xdr:rowOff>1</xdr:rowOff>
    </xdr:from>
    <xdr:to>
      <xdr:col>1</xdr:col>
      <xdr:colOff>329739</xdr:colOff>
      <xdr:row>25</xdr:row>
      <xdr:rowOff>158021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10A869E0-671F-4249-94E6-BC386BB601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45870" y="4558146"/>
          <a:ext cx="289560" cy="351984"/>
        </a:xfrm>
        <a:prstGeom prst="rect">
          <a:avLst/>
        </a:prstGeom>
      </xdr:spPr>
    </xdr:pic>
    <xdr:clientData/>
  </xdr:twoCellAnchor>
  <xdr:twoCellAnchor>
    <xdr:from>
      <xdr:col>1</xdr:col>
      <xdr:colOff>332509</xdr:colOff>
      <xdr:row>26</xdr:row>
      <xdr:rowOff>41563</xdr:rowOff>
    </xdr:from>
    <xdr:to>
      <xdr:col>2</xdr:col>
      <xdr:colOff>441960</xdr:colOff>
      <xdr:row>29</xdr:row>
      <xdr:rowOff>30480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xmlns="" id="{D1F2817C-9A1C-47A2-9A0B-264B692F8173}"/>
            </a:ext>
          </a:extLst>
        </xdr:cNvPr>
        <xdr:cNvCxnSpPr/>
      </xdr:nvCxnSpPr>
      <xdr:spPr>
        <a:xfrm flipH="1" flipV="1">
          <a:off x="838200" y="4987636"/>
          <a:ext cx="469669" cy="577735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83820</xdr:colOff>
      <xdr:row>23</xdr:row>
      <xdr:rowOff>175260</xdr:rowOff>
    </xdr:from>
    <xdr:to>
      <xdr:col>17</xdr:col>
      <xdr:colOff>610028</xdr:colOff>
      <xdr:row>27</xdr:row>
      <xdr:rowOff>81735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xmlns="" id="{4FB552CA-1593-408F-944A-82DAF6FA52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700260" y="4465320"/>
          <a:ext cx="1128881" cy="668475"/>
        </a:xfrm>
        <a:prstGeom prst="rect">
          <a:avLst/>
        </a:prstGeom>
      </xdr:spPr>
    </xdr:pic>
    <xdr:clientData/>
  </xdr:twoCellAnchor>
  <xdr:twoCellAnchor editAs="oneCell">
    <xdr:from>
      <xdr:col>12</xdr:col>
      <xdr:colOff>60960</xdr:colOff>
      <xdr:row>48</xdr:row>
      <xdr:rowOff>114300</xdr:rowOff>
    </xdr:from>
    <xdr:to>
      <xdr:col>13</xdr:col>
      <xdr:colOff>62635</xdr:colOff>
      <xdr:row>50</xdr:row>
      <xdr:rowOff>172490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xmlns="" id="{0334EE64-2A90-4BC4-A101-114C64EDD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01840" y="10325100"/>
          <a:ext cx="771295" cy="464820"/>
        </a:xfrm>
        <a:prstGeom prst="rect">
          <a:avLst/>
        </a:prstGeom>
        <a:ln w="25400">
          <a:solidFill>
            <a:schemeClr val="tx1"/>
          </a:solidFill>
        </a:ln>
      </xdr:spPr>
    </xdr:pic>
    <xdr:clientData/>
  </xdr:twoCellAnchor>
  <xdr:twoCellAnchor editAs="oneCell">
    <xdr:from>
      <xdr:col>8</xdr:col>
      <xdr:colOff>541020</xdr:colOff>
      <xdr:row>52</xdr:row>
      <xdr:rowOff>83820</xdr:rowOff>
    </xdr:from>
    <xdr:to>
      <xdr:col>11</xdr:col>
      <xdr:colOff>387774</xdr:colOff>
      <xdr:row>54</xdr:row>
      <xdr:rowOff>83820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36412661-55C2-4384-8A2F-8408D8077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303520" y="10904220"/>
          <a:ext cx="1652694" cy="365760"/>
        </a:xfrm>
        <a:prstGeom prst="rect">
          <a:avLst/>
        </a:prstGeom>
      </xdr:spPr>
    </xdr:pic>
    <xdr:clientData/>
  </xdr:twoCellAnchor>
  <xdr:twoCellAnchor>
    <xdr:from>
      <xdr:col>9</xdr:col>
      <xdr:colOff>408709</xdr:colOff>
      <xdr:row>49</xdr:row>
      <xdr:rowOff>0</xdr:rowOff>
    </xdr:from>
    <xdr:to>
      <xdr:col>19</xdr:col>
      <xdr:colOff>487681</xdr:colOff>
      <xdr:row>52</xdr:row>
      <xdr:rowOff>55418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xmlns="" id="{F1CD3777-D3A5-4740-8DDC-73EC347B247E}"/>
            </a:ext>
          </a:extLst>
        </xdr:cNvPr>
        <xdr:cNvCxnSpPr/>
      </xdr:nvCxnSpPr>
      <xdr:spPr>
        <a:xfrm flipH="1">
          <a:off x="5784273" y="10702636"/>
          <a:ext cx="5710844" cy="6719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548640</xdr:colOff>
      <xdr:row>38</xdr:row>
      <xdr:rowOff>58663</xdr:rowOff>
    </xdr:from>
    <xdr:to>
      <xdr:col>4</xdr:col>
      <xdr:colOff>212667</xdr:colOff>
      <xdr:row>39</xdr:row>
      <xdr:rowOff>132092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xmlns="" id="{ED57AEB5-45A5-4134-808D-BAA197489665}"/>
            </a:ext>
          </a:extLst>
        </xdr:cNvPr>
        <xdr:cNvSpPr/>
      </xdr:nvSpPr>
      <xdr:spPr>
        <a:xfrm>
          <a:off x="2308167" y="7214536"/>
          <a:ext cx="266700" cy="253538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531321</xdr:colOff>
      <xdr:row>38</xdr:row>
      <xdr:rowOff>128338</xdr:rowOff>
    </xdr:from>
    <xdr:to>
      <xdr:col>6</xdr:col>
      <xdr:colOff>455122</xdr:colOff>
      <xdr:row>40</xdr:row>
      <xdr:rowOff>121920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xmlns="" id="{55F46760-7725-4ED1-AB11-4DB15178024C}"/>
            </a:ext>
          </a:extLst>
        </xdr:cNvPr>
        <xdr:cNvGrpSpPr/>
      </xdr:nvGrpSpPr>
      <xdr:grpSpPr>
        <a:xfrm>
          <a:off x="3496194" y="7284211"/>
          <a:ext cx="526473" cy="353800"/>
          <a:chOff x="2948940" y="7284211"/>
          <a:chExt cx="526473" cy="353800"/>
        </a:xfrm>
      </xdr:grpSpPr>
      <xdr:sp macro="" textlink="">
        <xdr:nvSpPr>
          <xdr:cNvPr id="5" name="Flowchart: Magnetic Disk 4">
            <a:extLst>
              <a:ext uri="{FF2B5EF4-FFF2-40B4-BE49-F238E27FC236}">
                <a16:creationId xmlns:a16="http://schemas.microsoft.com/office/drawing/2014/main" xmlns="" id="{ECBFD374-9AE5-4DD0-90A1-93AE9FA5C64C}"/>
              </a:ext>
            </a:extLst>
          </xdr:cNvPr>
          <xdr:cNvSpPr/>
        </xdr:nvSpPr>
        <xdr:spPr>
          <a:xfrm>
            <a:off x="2948940" y="7285413"/>
            <a:ext cx="526473" cy="352598"/>
          </a:xfrm>
          <a:prstGeom prst="flowChartMagneticDisk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46" name="Oval 45">
            <a:extLst>
              <a:ext uri="{FF2B5EF4-FFF2-40B4-BE49-F238E27FC236}">
                <a16:creationId xmlns:a16="http://schemas.microsoft.com/office/drawing/2014/main" xmlns="" id="{4B671BA9-70E3-4687-97BD-3692E39A7D3A}"/>
              </a:ext>
            </a:extLst>
          </xdr:cNvPr>
          <xdr:cNvSpPr/>
        </xdr:nvSpPr>
        <xdr:spPr>
          <a:xfrm>
            <a:off x="2956561" y="7284211"/>
            <a:ext cx="517650" cy="111929"/>
          </a:xfrm>
          <a:prstGeom prst="ellipse">
            <a:avLst/>
          </a:prstGeom>
          <a:solidFill>
            <a:schemeClr val="bg1">
              <a:lumMod val="6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2</xdr:col>
      <xdr:colOff>83820</xdr:colOff>
      <xdr:row>38</xdr:row>
      <xdr:rowOff>60960</xdr:rowOff>
    </xdr:from>
    <xdr:to>
      <xdr:col>2</xdr:col>
      <xdr:colOff>358140</xdr:colOff>
      <xdr:row>40</xdr:row>
      <xdr:rowOff>83820</xdr:rowOff>
    </xdr:to>
    <xdr:sp macro="" textlink="">
      <xdr:nvSpPr>
        <xdr:cNvPr id="47" name="Cube 46">
          <a:extLst>
            <a:ext uri="{FF2B5EF4-FFF2-40B4-BE49-F238E27FC236}">
              <a16:creationId xmlns:a16="http://schemas.microsoft.com/office/drawing/2014/main" xmlns="" id="{3AA99847-8CB1-48A7-996E-A1D0B6CEBB31}"/>
            </a:ext>
          </a:extLst>
        </xdr:cNvPr>
        <xdr:cNvSpPr/>
      </xdr:nvSpPr>
      <xdr:spPr>
        <a:xfrm>
          <a:off x="942073" y="7215739"/>
          <a:ext cx="274320" cy="391828"/>
        </a:xfrm>
        <a:prstGeom prst="cub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346363</xdr:colOff>
      <xdr:row>9</xdr:row>
      <xdr:rowOff>132311</xdr:rowOff>
    </xdr:from>
    <xdr:to>
      <xdr:col>16</xdr:col>
      <xdr:colOff>398318</xdr:colOff>
      <xdr:row>11</xdr:row>
      <xdr:rowOff>110144</xdr:rowOff>
    </xdr:to>
    <xdr:sp macro="" textlink="">
      <xdr:nvSpPr>
        <xdr:cNvPr id="54" name="Flowchart: Terminator 53">
          <a:extLst>
            <a:ext uri="{FF2B5EF4-FFF2-40B4-BE49-F238E27FC236}">
              <a16:creationId xmlns:a16="http://schemas.microsoft.com/office/drawing/2014/main" xmlns="" id="{A3E8306D-5110-42AC-A476-5012EA7AD129}"/>
            </a:ext>
          </a:extLst>
        </xdr:cNvPr>
        <xdr:cNvSpPr/>
      </xdr:nvSpPr>
      <xdr:spPr>
        <a:xfrm>
          <a:off x="8769927" y="1781002"/>
          <a:ext cx="1257300" cy="365760"/>
        </a:xfrm>
        <a:prstGeom prst="flowChartTerminator">
          <a:avLst/>
        </a:prstGeom>
        <a:solidFill>
          <a:schemeClr val="accent6"/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TIPCHECK</a:t>
          </a:r>
          <a:r>
            <a:rPr lang="en-GB" sz="1100" baseline="0"/>
            <a:t> </a:t>
          </a:r>
          <a:endParaRPr lang="en-GB" sz="1100"/>
        </a:p>
      </xdr:txBody>
    </xdr:sp>
    <xdr:clientData/>
  </xdr:twoCellAnchor>
  <xdr:twoCellAnchor editAs="oneCell">
    <xdr:from>
      <xdr:col>16</xdr:col>
      <xdr:colOff>497378</xdr:colOff>
      <xdr:row>9</xdr:row>
      <xdr:rowOff>48491</xdr:rowOff>
    </xdr:from>
    <xdr:to>
      <xdr:col>17</xdr:col>
      <xdr:colOff>405245</xdr:colOff>
      <xdr:row>11</xdr:row>
      <xdr:rowOff>171104</xdr:rowOff>
    </xdr:to>
    <xdr:pic>
      <xdr:nvPicPr>
        <xdr:cNvPr id="55" name="Graphic 54" descr="Share">
          <a:extLst>
            <a:ext uri="{FF2B5EF4-FFF2-40B4-BE49-F238E27FC236}">
              <a16:creationId xmlns:a16="http://schemas.microsoft.com/office/drawing/2014/main" xmlns="" id="{A913471E-8027-4551-AD4D-4BB440E036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8"/>
            </a:ext>
          </a:extLst>
        </a:blip>
        <a:stretch>
          <a:fillRect/>
        </a:stretch>
      </xdr:blipFill>
      <xdr:spPr>
        <a:xfrm>
          <a:off x="10126287" y="1697182"/>
          <a:ext cx="510540" cy="510540"/>
        </a:xfrm>
        <a:prstGeom prst="rect">
          <a:avLst/>
        </a:prstGeom>
      </xdr:spPr>
    </xdr:pic>
    <xdr:clientData/>
  </xdr:twoCellAnchor>
  <xdr:twoCellAnchor>
    <xdr:from>
      <xdr:col>6</xdr:col>
      <xdr:colOff>376844</xdr:colOff>
      <xdr:row>26</xdr:row>
      <xdr:rowOff>5543</xdr:rowOff>
    </xdr:from>
    <xdr:to>
      <xdr:col>8</xdr:col>
      <xdr:colOff>27709</xdr:colOff>
      <xdr:row>31</xdr:row>
      <xdr:rowOff>13855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xmlns="" id="{5DB21867-72F5-46EB-9D59-B0B6CDEB639E}"/>
            </a:ext>
          </a:extLst>
        </xdr:cNvPr>
        <xdr:cNvCxnSpPr/>
      </xdr:nvCxnSpPr>
      <xdr:spPr>
        <a:xfrm flipH="1" flipV="1">
          <a:off x="3944389" y="4951616"/>
          <a:ext cx="856211" cy="957348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9699</xdr:colOff>
      <xdr:row>9</xdr:row>
      <xdr:rowOff>55418</xdr:rowOff>
    </xdr:from>
    <xdr:to>
      <xdr:col>20</xdr:col>
      <xdr:colOff>200891</xdr:colOff>
      <xdr:row>10</xdr:row>
      <xdr:rowOff>144779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xmlns="" id="{030A8244-FF78-4EF6-81E9-F534D8FBCC4F}"/>
            </a:ext>
          </a:extLst>
        </xdr:cNvPr>
        <xdr:cNvCxnSpPr/>
      </xdr:nvCxnSpPr>
      <xdr:spPr>
        <a:xfrm flipH="1">
          <a:off x="10629208" y="1704109"/>
          <a:ext cx="1188719" cy="283325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739140</xdr:colOff>
      <xdr:row>18</xdr:row>
      <xdr:rowOff>60960</xdr:rowOff>
    </xdr:from>
    <xdr:to>
      <xdr:col>15</xdr:col>
      <xdr:colOff>121920</xdr:colOff>
      <xdr:row>18</xdr:row>
      <xdr:rowOff>60960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xmlns="" id="{DC0F29C7-F442-476C-B020-C3346F5CE7A3}"/>
            </a:ext>
          </a:extLst>
        </xdr:cNvPr>
        <xdr:cNvCxnSpPr/>
      </xdr:nvCxnSpPr>
      <xdr:spPr>
        <a:xfrm>
          <a:off x="8755380" y="3223260"/>
          <a:ext cx="1371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19</xdr:row>
      <xdr:rowOff>137160</xdr:rowOff>
    </xdr:from>
    <xdr:to>
      <xdr:col>15</xdr:col>
      <xdr:colOff>137160</xdr:colOff>
      <xdr:row>19</xdr:row>
      <xdr:rowOff>137160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xmlns="" id="{A7DA41EC-40FF-4336-BF8D-3A9D0D54ABF3}"/>
            </a:ext>
          </a:extLst>
        </xdr:cNvPr>
        <xdr:cNvCxnSpPr/>
      </xdr:nvCxnSpPr>
      <xdr:spPr>
        <a:xfrm>
          <a:off x="8770620" y="3489960"/>
          <a:ext cx="1371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12</xdr:col>
      <xdr:colOff>60960</xdr:colOff>
      <xdr:row>98</xdr:row>
      <xdr:rowOff>114300</xdr:rowOff>
    </xdr:from>
    <xdr:ext cx="770602" cy="466899"/>
    <xdr:pic>
      <xdr:nvPicPr>
        <xdr:cNvPr id="51" name="Picture 50">
          <a:extLst>
            <a:ext uri="{FF2B5EF4-FFF2-40B4-BE49-F238E27FC236}">
              <a16:creationId xmlns:a16="http://schemas.microsoft.com/office/drawing/2014/main" xmlns="" id="{53CD2E81-1AA6-46CF-B601-B5B1EE094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12924" y="10976264"/>
          <a:ext cx="770602" cy="466899"/>
        </a:xfrm>
        <a:prstGeom prst="rect">
          <a:avLst/>
        </a:prstGeom>
        <a:ln w="25400">
          <a:solidFill>
            <a:schemeClr val="tx1"/>
          </a:solidFill>
        </a:ln>
      </xdr:spPr>
    </xdr:pic>
    <xdr:clientData/>
  </xdr:oneCellAnchor>
  <xdr:oneCellAnchor>
    <xdr:from>
      <xdr:col>8</xdr:col>
      <xdr:colOff>541020</xdr:colOff>
      <xdr:row>102</xdr:row>
      <xdr:rowOff>83820</xdr:rowOff>
    </xdr:from>
    <xdr:ext cx="1654772" cy="360218"/>
    <xdr:pic>
      <xdr:nvPicPr>
        <xdr:cNvPr id="52" name="Picture 51">
          <a:extLst>
            <a:ext uri="{FF2B5EF4-FFF2-40B4-BE49-F238E27FC236}">
              <a16:creationId xmlns:a16="http://schemas.microsoft.com/office/drawing/2014/main" xmlns="" id="{E42AAC0E-D61E-4D92-AE19-44A7347E0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313911" y="11790911"/>
          <a:ext cx="1654772" cy="360218"/>
        </a:xfrm>
        <a:prstGeom prst="rect">
          <a:avLst/>
        </a:prstGeom>
      </xdr:spPr>
    </xdr:pic>
    <xdr:clientData/>
  </xdr:oneCellAnchor>
  <xdr:twoCellAnchor>
    <xdr:from>
      <xdr:col>9</xdr:col>
      <xdr:colOff>408709</xdr:colOff>
      <xdr:row>99</xdr:row>
      <xdr:rowOff>0</xdr:rowOff>
    </xdr:from>
    <xdr:to>
      <xdr:col>19</xdr:col>
      <xdr:colOff>487681</xdr:colOff>
      <xdr:row>102</xdr:row>
      <xdr:rowOff>55418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xmlns="" id="{5FEB2762-125D-4E3F-BE61-A7503A21484E}"/>
            </a:ext>
          </a:extLst>
        </xdr:cNvPr>
        <xdr:cNvCxnSpPr/>
      </xdr:nvCxnSpPr>
      <xdr:spPr>
        <a:xfrm flipH="1">
          <a:off x="5784273" y="11090564"/>
          <a:ext cx="5939444" cy="6719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68580</xdr:colOff>
      <xdr:row>25</xdr:row>
      <xdr:rowOff>182880</xdr:rowOff>
    </xdr:from>
    <xdr:to>
      <xdr:col>18</xdr:col>
      <xdr:colOff>7620</xdr:colOff>
      <xdr:row>27</xdr:row>
      <xdr:rowOff>144778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4A9E1272-24F3-4F90-AE5B-6946C6D9E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043160" y="4732020"/>
          <a:ext cx="327660" cy="3276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350520</xdr:colOff>
      <xdr:row>6</xdr:row>
      <xdr:rowOff>68581</xdr:rowOff>
    </xdr:from>
    <xdr:to>
      <xdr:col>2</xdr:col>
      <xdr:colOff>388620</xdr:colOff>
      <xdr:row>8</xdr:row>
      <xdr:rowOff>129541</xdr:rowOff>
    </xdr:to>
    <xdr:pic>
      <xdr:nvPicPr>
        <xdr:cNvPr id="5" name="Pictur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955D86F7-1609-4477-9006-6397DC91A8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/>
        <a:srcRect t="4629"/>
        <a:stretch/>
      </xdr:blipFill>
      <xdr:spPr>
        <a:xfrm>
          <a:off x="708660" y="998221"/>
          <a:ext cx="396240" cy="42672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68580</xdr:rowOff>
    </xdr:from>
    <xdr:to>
      <xdr:col>3</xdr:col>
      <xdr:colOff>350520</xdr:colOff>
      <xdr:row>2</xdr:row>
      <xdr:rowOff>0</xdr:rowOff>
    </xdr:to>
    <xdr:sp macro="" textlink="">
      <xdr:nvSpPr>
        <xdr:cNvPr id="7" name="Rectangle: Top Corners One Rounded and One Snipped 6">
          <a:extLst>
            <a:ext uri="{FF2B5EF4-FFF2-40B4-BE49-F238E27FC236}">
              <a16:creationId xmlns:a16="http://schemas.microsoft.com/office/drawing/2014/main" xmlns="" id="{FE5AA94E-E7F1-4520-905D-EDDEEC371345}"/>
            </a:ext>
          </a:extLst>
        </xdr:cNvPr>
        <xdr:cNvSpPr/>
      </xdr:nvSpPr>
      <xdr:spPr>
        <a:xfrm>
          <a:off x="358140" y="68580"/>
          <a:ext cx="1600200" cy="312420"/>
        </a:xfrm>
        <a:prstGeom prst="snipRoundRect">
          <a:avLst/>
        </a:prstGeom>
        <a:solidFill>
          <a:schemeClr val="accent1">
            <a:lumMod val="60000"/>
            <a:lumOff val="40000"/>
          </a:schemeClr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Un-insulated</a:t>
          </a:r>
          <a:r>
            <a:rPr lang="en-GB" sz="110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 pipe</a:t>
          </a:r>
          <a:endParaRPr lang="en-GB" sz="11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518360</xdr:colOff>
      <xdr:row>24</xdr:row>
      <xdr:rowOff>60960</xdr:rowOff>
    </xdr:from>
    <xdr:to>
      <xdr:col>10</xdr:col>
      <xdr:colOff>466182</xdr:colOff>
      <xdr:row>26</xdr:row>
      <xdr:rowOff>45720</xdr:rowOff>
    </xdr:to>
    <xdr:sp macro="" textlink="">
      <xdr:nvSpPr>
        <xdr:cNvPr id="8" name="Flowchart: Terminator 7">
          <a:extLst>
            <a:ext uri="{FF2B5EF4-FFF2-40B4-BE49-F238E27FC236}">
              <a16:creationId xmlns:a16="http://schemas.microsoft.com/office/drawing/2014/main" xmlns="" id="{0EEE39DD-4192-42DB-9E39-8858C780CDE1}"/>
            </a:ext>
          </a:extLst>
        </xdr:cNvPr>
        <xdr:cNvSpPr/>
      </xdr:nvSpPr>
      <xdr:spPr>
        <a:xfrm>
          <a:off x="4282640" y="4419600"/>
          <a:ext cx="1753762" cy="365760"/>
        </a:xfrm>
        <a:prstGeom prst="flowChartTerminator">
          <a:avLst/>
        </a:prstGeom>
        <a:solidFill>
          <a:schemeClr val="accent1">
            <a:lumMod val="60000"/>
            <a:lumOff val="4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/>
            <a:t>Comments</a:t>
          </a:r>
          <a:r>
            <a:rPr lang="en-GB" sz="1100"/>
            <a:t> </a:t>
          </a:r>
        </a:p>
      </xdr:txBody>
    </xdr:sp>
    <xdr:clientData/>
  </xdr:twoCellAnchor>
  <xdr:twoCellAnchor>
    <xdr:from>
      <xdr:col>7</xdr:col>
      <xdr:colOff>532364</xdr:colOff>
      <xdr:row>21</xdr:row>
      <xdr:rowOff>76200</xdr:rowOff>
    </xdr:from>
    <xdr:to>
      <xdr:col>10</xdr:col>
      <xdr:colOff>487680</xdr:colOff>
      <xdr:row>23</xdr:row>
      <xdr:rowOff>76200</xdr:rowOff>
    </xdr:to>
    <xdr:sp macro="" textlink="">
      <xdr:nvSpPr>
        <xdr:cNvPr id="9" name="Flowchart: Terminator 8">
          <a:extLst>
            <a:ext uri="{FF2B5EF4-FFF2-40B4-BE49-F238E27FC236}">
              <a16:creationId xmlns:a16="http://schemas.microsoft.com/office/drawing/2014/main" xmlns="" id="{B0AB55E6-0E53-4162-875B-D90749920B80}"/>
            </a:ext>
          </a:extLst>
        </xdr:cNvPr>
        <xdr:cNvSpPr/>
      </xdr:nvSpPr>
      <xdr:spPr>
        <a:xfrm>
          <a:off x="4296644" y="3863340"/>
          <a:ext cx="1761256" cy="381000"/>
        </a:xfrm>
        <a:prstGeom prst="flowChartTerminator">
          <a:avLst/>
        </a:prstGeom>
        <a:solidFill>
          <a:schemeClr val="accent1">
            <a:lumMod val="60000"/>
            <a:lumOff val="4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/>
            <a:t>Space issue</a:t>
          </a:r>
          <a:endParaRPr lang="en-GB" sz="1100"/>
        </a:p>
      </xdr:txBody>
    </xdr:sp>
    <xdr:clientData/>
  </xdr:twoCellAnchor>
  <xdr:twoCellAnchor>
    <xdr:from>
      <xdr:col>7</xdr:col>
      <xdr:colOff>533400</xdr:colOff>
      <xdr:row>18</xdr:row>
      <xdr:rowOff>144780</xdr:rowOff>
    </xdr:from>
    <xdr:to>
      <xdr:col>10</xdr:col>
      <xdr:colOff>436253</xdr:colOff>
      <xdr:row>20</xdr:row>
      <xdr:rowOff>137160</xdr:rowOff>
    </xdr:to>
    <xdr:sp macro="" textlink="">
      <xdr:nvSpPr>
        <xdr:cNvPr id="10" name="Flowchart: Terminator 9">
          <a:extLst>
            <a:ext uri="{FF2B5EF4-FFF2-40B4-BE49-F238E27FC236}">
              <a16:creationId xmlns:a16="http://schemas.microsoft.com/office/drawing/2014/main" xmlns="" id="{A08117CF-B73E-4CC2-84C9-127F28AD971E}"/>
            </a:ext>
          </a:extLst>
        </xdr:cNvPr>
        <xdr:cNvSpPr/>
      </xdr:nvSpPr>
      <xdr:spPr>
        <a:xfrm>
          <a:off x="4297680" y="3360420"/>
          <a:ext cx="1708793" cy="373380"/>
        </a:xfrm>
        <a:prstGeom prst="flowChartTerminator">
          <a:avLst/>
        </a:prstGeom>
        <a:solidFill>
          <a:schemeClr val="accent1">
            <a:lumMod val="60000"/>
            <a:lumOff val="4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/>
            <a:t>Operational</a:t>
          </a:r>
          <a:r>
            <a:rPr lang="en-GB" sz="1600" baseline="0"/>
            <a:t> </a:t>
          </a:r>
          <a:r>
            <a:rPr lang="en-GB" sz="1600"/>
            <a:t> risk </a:t>
          </a:r>
          <a:r>
            <a:rPr lang="en-GB" sz="1100"/>
            <a:t> </a:t>
          </a:r>
        </a:p>
      </xdr:txBody>
    </xdr:sp>
    <xdr:clientData/>
  </xdr:twoCellAnchor>
  <xdr:twoCellAnchor>
    <xdr:from>
      <xdr:col>7</xdr:col>
      <xdr:colOff>563880</xdr:colOff>
      <xdr:row>16</xdr:row>
      <xdr:rowOff>7620</xdr:rowOff>
    </xdr:from>
    <xdr:to>
      <xdr:col>10</xdr:col>
      <xdr:colOff>466733</xdr:colOff>
      <xdr:row>18</xdr:row>
      <xdr:rowOff>0</xdr:rowOff>
    </xdr:to>
    <xdr:sp macro="" textlink="">
      <xdr:nvSpPr>
        <xdr:cNvPr id="11" name="Flowchart: Terminator 10">
          <a:extLst>
            <a:ext uri="{FF2B5EF4-FFF2-40B4-BE49-F238E27FC236}">
              <a16:creationId xmlns:a16="http://schemas.microsoft.com/office/drawing/2014/main" xmlns="" id="{268AEAAB-325A-40E2-A48D-149FBA0277A2}"/>
            </a:ext>
          </a:extLst>
        </xdr:cNvPr>
        <xdr:cNvSpPr/>
      </xdr:nvSpPr>
      <xdr:spPr>
        <a:xfrm>
          <a:off x="4328160" y="2842260"/>
          <a:ext cx="1708793" cy="373380"/>
        </a:xfrm>
        <a:prstGeom prst="flowChartTerminator">
          <a:avLst/>
        </a:prstGeom>
        <a:solidFill>
          <a:schemeClr val="accent1">
            <a:lumMod val="60000"/>
            <a:lumOff val="4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/>
            <a:t>Safety risk </a:t>
          </a:r>
          <a:r>
            <a:rPr lang="en-GB" sz="1100"/>
            <a:t> </a:t>
          </a:r>
        </a:p>
      </xdr:txBody>
    </xdr:sp>
    <xdr:clientData/>
  </xdr:twoCellAnchor>
  <xdr:twoCellAnchor editAs="oneCell">
    <xdr:from>
      <xdr:col>2</xdr:col>
      <xdr:colOff>556260</xdr:colOff>
      <xdr:row>6</xdr:row>
      <xdr:rowOff>53340</xdr:rowOff>
    </xdr:from>
    <xdr:to>
      <xdr:col>2</xdr:col>
      <xdr:colOff>998220</xdr:colOff>
      <xdr:row>8</xdr:row>
      <xdr:rowOff>129540</xdr:rowOff>
    </xdr:to>
    <xdr:pic>
      <xdr:nvPicPr>
        <xdr:cNvPr id="13" name="Graphic 12" descr="Open Folder">
          <a:extLst>
            <a:ext uri="{FF2B5EF4-FFF2-40B4-BE49-F238E27FC236}">
              <a16:creationId xmlns:a16="http://schemas.microsoft.com/office/drawing/2014/main" xmlns="" id="{285CC7B0-73AB-4DF2-A676-02C3D9DCB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5"/>
            </a:ext>
          </a:extLst>
        </a:blip>
        <a:stretch>
          <a:fillRect/>
        </a:stretch>
      </xdr:blipFill>
      <xdr:spPr>
        <a:xfrm>
          <a:off x="1272540" y="982980"/>
          <a:ext cx="441960" cy="441960"/>
        </a:xfrm>
        <a:prstGeom prst="rect">
          <a:avLst/>
        </a:prstGeom>
      </xdr:spPr>
    </xdr:pic>
    <xdr:clientData/>
  </xdr:twoCellAnchor>
  <xdr:twoCellAnchor>
    <xdr:from>
      <xdr:col>16</xdr:col>
      <xdr:colOff>312420</xdr:colOff>
      <xdr:row>0</xdr:row>
      <xdr:rowOff>99060</xdr:rowOff>
    </xdr:from>
    <xdr:to>
      <xdr:col>18</xdr:col>
      <xdr:colOff>7620</xdr:colOff>
      <xdr:row>1</xdr:row>
      <xdr:rowOff>121920</xdr:rowOff>
    </xdr:to>
    <xdr:sp macro="" textlink="">
      <xdr:nvSpPr>
        <xdr:cNvPr id="14" name="Flowchart: Terminator 13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xmlns="" id="{288E1E41-EAA7-4FFF-B4AB-5B8BC1ACC6BC}"/>
            </a:ext>
          </a:extLst>
        </xdr:cNvPr>
        <xdr:cNvSpPr/>
      </xdr:nvSpPr>
      <xdr:spPr>
        <a:xfrm>
          <a:off x="9685020" y="99060"/>
          <a:ext cx="685800" cy="213360"/>
        </a:xfrm>
        <a:prstGeom prst="flowChartTerminator">
          <a:avLst/>
        </a:prstGeom>
        <a:solidFill>
          <a:schemeClr val="accent6">
            <a:lumMod val="5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 b="1"/>
            <a:t>End </a:t>
          </a:r>
        </a:p>
      </xdr:txBody>
    </xdr:sp>
    <xdr:clientData/>
  </xdr:twoCellAnchor>
  <xdr:twoCellAnchor editAs="oneCell">
    <xdr:from>
      <xdr:col>13</xdr:col>
      <xdr:colOff>121924</xdr:colOff>
      <xdr:row>39</xdr:row>
      <xdr:rowOff>137161</xdr:rowOff>
    </xdr:from>
    <xdr:to>
      <xdr:col>13</xdr:col>
      <xdr:colOff>358143</xdr:colOff>
      <xdr:row>43</xdr:row>
      <xdr:rowOff>129541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xmlns="" id="{8EB0A6A0-8420-40A9-881F-544AB98448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b="26107"/>
        <a:stretch/>
      </xdr:blipFill>
      <xdr:spPr>
        <a:xfrm rot="16200000">
          <a:off x="7292344" y="7520941"/>
          <a:ext cx="723900" cy="236219"/>
        </a:xfrm>
        <a:prstGeom prst="rect">
          <a:avLst/>
        </a:prstGeom>
      </xdr:spPr>
    </xdr:pic>
    <xdr:clientData/>
  </xdr:twoCellAnchor>
  <xdr:twoCellAnchor editAs="oneCell">
    <xdr:from>
      <xdr:col>14</xdr:col>
      <xdr:colOff>219714</xdr:colOff>
      <xdr:row>40</xdr:row>
      <xdr:rowOff>115573</xdr:rowOff>
    </xdr:from>
    <xdr:to>
      <xdr:col>14</xdr:col>
      <xdr:colOff>394973</xdr:colOff>
      <xdr:row>43</xdr:row>
      <xdr:rowOff>151129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xmlns="" id="{ED1ECD0B-EA38-4BA4-B105-2B27DD8B6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 rot="16200000">
          <a:off x="8031486" y="7642861"/>
          <a:ext cx="584196" cy="175259"/>
        </a:xfrm>
        <a:prstGeom prst="rect">
          <a:avLst/>
        </a:prstGeom>
      </xdr:spPr>
    </xdr:pic>
    <xdr:clientData/>
  </xdr:twoCellAnchor>
  <xdr:twoCellAnchor editAs="oneCell">
    <xdr:from>
      <xdr:col>16</xdr:col>
      <xdr:colOff>117050</xdr:colOff>
      <xdr:row>38</xdr:row>
      <xdr:rowOff>149652</xdr:rowOff>
    </xdr:from>
    <xdr:to>
      <xdr:col>16</xdr:col>
      <xdr:colOff>513289</xdr:colOff>
      <xdr:row>43</xdr:row>
      <xdr:rowOff>33229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xmlns="" id="{5A3F43F8-759E-4845-90F7-29D4CC26C1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4333" t="38094" r="77667"/>
        <a:stretch/>
      </xdr:blipFill>
      <xdr:spPr>
        <a:xfrm rot="16200000">
          <a:off x="9288781" y="7307581"/>
          <a:ext cx="797977" cy="396239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</xdr:colOff>
      <xdr:row>54</xdr:row>
      <xdr:rowOff>152400</xdr:rowOff>
    </xdr:from>
    <xdr:to>
      <xdr:col>12</xdr:col>
      <xdr:colOff>608754</xdr:colOff>
      <xdr:row>56</xdr:row>
      <xdr:rowOff>137160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702CAEAA-71B2-4F1D-9A1E-E0B65DC10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00700" y="10949940"/>
          <a:ext cx="1652694" cy="365760"/>
        </a:xfrm>
        <a:prstGeom prst="rect">
          <a:avLst/>
        </a:prstGeom>
      </xdr:spPr>
    </xdr:pic>
    <xdr:clientData/>
  </xdr:twoCellAnchor>
  <xdr:twoCellAnchor>
    <xdr:from>
      <xdr:col>14</xdr:col>
      <xdr:colOff>373380</xdr:colOff>
      <xdr:row>47</xdr:row>
      <xdr:rowOff>60960</xdr:rowOff>
    </xdr:from>
    <xdr:to>
      <xdr:col>20</xdr:col>
      <xdr:colOff>464820</xdr:colOff>
      <xdr:row>49</xdr:row>
      <xdr:rowOff>106680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xmlns="" id="{3B1C9BA6-FDE6-43ED-89DC-F7B0BC7F4705}"/>
            </a:ext>
          </a:extLst>
        </xdr:cNvPr>
        <xdr:cNvCxnSpPr/>
      </xdr:nvCxnSpPr>
      <xdr:spPr>
        <a:xfrm flipH="1" flipV="1">
          <a:off x="8389620" y="9220200"/>
          <a:ext cx="3497580" cy="6553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83820</xdr:colOff>
      <xdr:row>53</xdr:row>
      <xdr:rowOff>114300</xdr:rowOff>
    </xdr:from>
    <xdr:to>
      <xdr:col>1</xdr:col>
      <xdr:colOff>281940</xdr:colOff>
      <xdr:row>55</xdr:row>
      <xdr:rowOff>137160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xmlns="" id="{EA26A811-D076-428F-AA90-393410A016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11597" r="32278"/>
        <a:stretch/>
      </xdr:blipFill>
      <xdr:spPr>
        <a:xfrm>
          <a:off x="83820" y="10477500"/>
          <a:ext cx="556260" cy="403860"/>
        </a:xfrm>
        <a:prstGeom prst="rect">
          <a:avLst/>
        </a:prstGeom>
      </xdr:spPr>
    </xdr:pic>
    <xdr:clientData/>
  </xdr:twoCellAnchor>
  <xdr:twoCellAnchor>
    <xdr:from>
      <xdr:col>14</xdr:col>
      <xdr:colOff>525780</xdr:colOff>
      <xdr:row>9</xdr:row>
      <xdr:rowOff>68580</xdr:rowOff>
    </xdr:from>
    <xdr:to>
      <xdr:col>16</xdr:col>
      <xdr:colOff>426720</xdr:colOff>
      <xdr:row>11</xdr:row>
      <xdr:rowOff>53340</xdr:rowOff>
    </xdr:to>
    <xdr:sp macro="" textlink="">
      <xdr:nvSpPr>
        <xdr:cNvPr id="21" name="Flowchart: Terminator 20">
          <a:extLst>
            <a:ext uri="{FF2B5EF4-FFF2-40B4-BE49-F238E27FC236}">
              <a16:creationId xmlns:a16="http://schemas.microsoft.com/office/drawing/2014/main" xmlns="" id="{D8D4791A-563A-4AE4-B276-E2347135A8C9}"/>
            </a:ext>
          </a:extLst>
        </xdr:cNvPr>
        <xdr:cNvSpPr/>
      </xdr:nvSpPr>
      <xdr:spPr>
        <a:xfrm>
          <a:off x="8542020" y="1569720"/>
          <a:ext cx="1257300" cy="365760"/>
        </a:xfrm>
        <a:prstGeom prst="flowChartTerminator">
          <a:avLst/>
        </a:prstGeom>
        <a:solidFill>
          <a:schemeClr val="accent6"/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/>
            <a:t>TIPCHECK</a:t>
          </a:r>
          <a:r>
            <a:rPr lang="en-GB" sz="1100"/>
            <a:t> </a:t>
          </a:r>
        </a:p>
      </xdr:txBody>
    </xdr:sp>
    <xdr:clientData/>
  </xdr:twoCellAnchor>
  <xdr:twoCellAnchor editAs="oneCell">
    <xdr:from>
      <xdr:col>16</xdr:col>
      <xdr:colOff>525780</xdr:colOff>
      <xdr:row>8</xdr:row>
      <xdr:rowOff>175260</xdr:rowOff>
    </xdr:from>
    <xdr:to>
      <xdr:col>18</xdr:col>
      <xdr:colOff>45720</xdr:colOff>
      <xdr:row>11</xdr:row>
      <xdr:rowOff>114300</xdr:rowOff>
    </xdr:to>
    <xdr:pic>
      <xdr:nvPicPr>
        <xdr:cNvPr id="22" name="Graphic 21" descr="Share">
          <a:extLst>
            <a:ext uri="{FF2B5EF4-FFF2-40B4-BE49-F238E27FC236}">
              <a16:creationId xmlns:a16="http://schemas.microsoft.com/office/drawing/2014/main" xmlns="" id="{987ABAA6-A467-4381-B0FE-E248887EA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3"/>
            </a:ext>
          </a:extLst>
        </a:blip>
        <a:stretch>
          <a:fillRect/>
        </a:stretch>
      </xdr:blipFill>
      <xdr:spPr>
        <a:xfrm>
          <a:off x="9898380" y="1485900"/>
          <a:ext cx="510540" cy="510540"/>
        </a:xfrm>
        <a:prstGeom prst="rect">
          <a:avLst/>
        </a:prstGeom>
      </xdr:spPr>
    </xdr:pic>
    <xdr:clientData/>
  </xdr:twoCellAnchor>
  <xdr:twoCellAnchor>
    <xdr:from>
      <xdr:col>15</xdr:col>
      <xdr:colOff>106680</xdr:colOff>
      <xdr:row>0</xdr:row>
      <xdr:rowOff>99060</xdr:rowOff>
    </xdr:from>
    <xdr:to>
      <xdr:col>16</xdr:col>
      <xdr:colOff>198120</xdr:colOff>
      <xdr:row>1</xdr:row>
      <xdr:rowOff>129540</xdr:rowOff>
    </xdr:to>
    <xdr:sp macro="" textlink="">
      <xdr:nvSpPr>
        <xdr:cNvPr id="24" name="Flowchart: Terminator 23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xmlns="" id="{855C0DB2-3116-47CE-99DB-480BDAEE06CE}"/>
            </a:ext>
          </a:extLst>
        </xdr:cNvPr>
        <xdr:cNvSpPr/>
      </xdr:nvSpPr>
      <xdr:spPr>
        <a:xfrm>
          <a:off x="8877300" y="99060"/>
          <a:ext cx="693420" cy="220980"/>
        </a:xfrm>
        <a:prstGeom prst="flowChartTerminator">
          <a:avLst/>
        </a:prstGeom>
        <a:noFill/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 b="1"/>
            <a:t>back   </a:t>
          </a:r>
        </a:p>
      </xdr:txBody>
    </xdr:sp>
    <xdr:clientData/>
  </xdr:twoCellAnchor>
  <xdr:twoCellAnchor editAs="oneCell">
    <xdr:from>
      <xdr:col>1</xdr:col>
      <xdr:colOff>129540</xdr:colOff>
      <xdr:row>24</xdr:row>
      <xdr:rowOff>94568</xdr:rowOff>
    </xdr:from>
    <xdr:to>
      <xdr:col>1</xdr:col>
      <xdr:colOff>297180</xdr:colOff>
      <xdr:row>25</xdr:row>
      <xdr:rowOff>153863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xmlns="" id="{F0CB8CBC-D143-4984-A27C-28C774C06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487680" y="4399868"/>
          <a:ext cx="167640" cy="249795"/>
        </a:xfrm>
        <a:prstGeom prst="rect">
          <a:avLst/>
        </a:prstGeom>
      </xdr:spPr>
    </xdr:pic>
    <xdr:clientData/>
  </xdr:twoCellAnchor>
  <xdr:twoCellAnchor>
    <xdr:from>
      <xdr:col>14</xdr:col>
      <xdr:colOff>739140</xdr:colOff>
      <xdr:row>18</xdr:row>
      <xdr:rowOff>60960</xdr:rowOff>
    </xdr:from>
    <xdr:to>
      <xdr:col>15</xdr:col>
      <xdr:colOff>121920</xdr:colOff>
      <xdr:row>18</xdr:row>
      <xdr:rowOff>60960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xmlns="" id="{E8013AB3-A009-4406-AAA8-74BEA4391AA8}"/>
            </a:ext>
          </a:extLst>
        </xdr:cNvPr>
        <xdr:cNvCxnSpPr/>
      </xdr:nvCxnSpPr>
      <xdr:spPr>
        <a:xfrm>
          <a:off x="8755380" y="3223260"/>
          <a:ext cx="1371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19</xdr:row>
      <xdr:rowOff>137160</xdr:rowOff>
    </xdr:from>
    <xdr:to>
      <xdr:col>15</xdr:col>
      <xdr:colOff>137160</xdr:colOff>
      <xdr:row>19</xdr:row>
      <xdr:rowOff>137160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xmlns="" id="{D6D61452-D4D3-4662-BD76-2362C5C2EAEC}"/>
            </a:ext>
          </a:extLst>
        </xdr:cNvPr>
        <xdr:cNvCxnSpPr/>
      </xdr:nvCxnSpPr>
      <xdr:spPr>
        <a:xfrm>
          <a:off x="8770620" y="3489960"/>
          <a:ext cx="1371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10</xdr:col>
      <xdr:colOff>30480</xdr:colOff>
      <xdr:row>127</xdr:row>
      <xdr:rowOff>152400</xdr:rowOff>
    </xdr:from>
    <xdr:ext cx="1652694" cy="365760"/>
    <xdr:pic>
      <xdr:nvPicPr>
        <xdr:cNvPr id="30" name="Picture 29">
          <a:extLst>
            <a:ext uri="{FF2B5EF4-FFF2-40B4-BE49-F238E27FC236}">
              <a16:creationId xmlns:a16="http://schemas.microsoft.com/office/drawing/2014/main" xmlns="" id="{FEF58657-5309-469D-9773-701B1C6A01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00700" y="11102340"/>
          <a:ext cx="1652694" cy="365760"/>
        </a:xfrm>
        <a:prstGeom prst="rect">
          <a:avLst/>
        </a:prstGeom>
      </xdr:spPr>
    </xdr:pic>
    <xdr:clientData/>
  </xdr:oneCellAnchor>
  <xdr:twoCellAnchor>
    <xdr:from>
      <xdr:col>14</xdr:col>
      <xdr:colOff>373380</xdr:colOff>
      <xdr:row>120</xdr:row>
      <xdr:rowOff>60960</xdr:rowOff>
    </xdr:from>
    <xdr:to>
      <xdr:col>20</xdr:col>
      <xdr:colOff>464820</xdr:colOff>
      <xdr:row>122</xdr:row>
      <xdr:rowOff>106680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xmlns="" id="{E5E5CFB0-CA31-400B-B8B9-AD7F1367D35B}"/>
            </a:ext>
          </a:extLst>
        </xdr:cNvPr>
        <xdr:cNvCxnSpPr/>
      </xdr:nvCxnSpPr>
      <xdr:spPr>
        <a:xfrm flipH="1" flipV="1">
          <a:off x="8389620" y="9410700"/>
          <a:ext cx="3688080" cy="6553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83820</xdr:colOff>
      <xdr:row>126</xdr:row>
      <xdr:rowOff>114300</xdr:rowOff>
    </xdr:from>
    <xdr:ext cx="556260" cy="403860"/>
    <xdr:pic>
      <xdr:nvPicPr>
        <xdr:cNvPr id="32" name="Picture 31">
          <a:extLst>
            <a:ext uri="{FF2B5EF4-FFF2-40B4-BE49-F238E27FC236}">
              <a16:creationId xmlns:a16="http://schemas.microsoft.com/office/drawing/2014/main" xmlns="" id="{AC893006-34AC-4F93-84A9-D3361A3B48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11597" r="32278"/>
        <a:stretch/>
      </xdr:blipFill>
      <xdr:spPr>
        <a:xfrm>
          <a:off x="83820" y="10873740"/>
          <a:ext cx="556260" cy="403860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68580</xdr:colOff>
      <xdr:row>25</xdr:row>
      <xdr:rowOff>182880</xdr:rowOff>
    </xdr:from>
    <xdr:to>
      <xdr:col>18</xdr:col>
      <xdr:colOff>7620</xdr:colOff>
      <xdr:row>27</xdr:row>
      <xdr:rowOff>160018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3E331C38-20C7-468A-AC29-ABC857355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043160" y="4732020"/>
          <a:ext cx="327660" cy="3428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192025</xdr:colOff>
      <xdr:row>6</xdr:row>
      <xdr:rowOff>68580</xdr:rowOff>
    </xdr:from>
    <xdr:to>
      <xdr:col>2</xdr:col>
      <xdr:colOff>388620</xdr:colOff>
      <xdr:row>9</xdr:row>
      <xdr:rowOff>137159</xdr:rowOff>
    </xdr:to>
    <xdr:pic>
      <xdr:nvPicPr>
        <xdr:cNvPr id="5" name="Pictur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B296FC22-51EA-47BD-BB4D-DE59BCA52D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/>
        <a:srcRect t="4629"/>
        <a:stretch/>
      </xdr:blipFill>
      <xdr:spPr>
        <a:xfrm>
          <a:off x="550165" y="944880"/>
          <a:ext cx="554735" cy="64007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68580</xdr:rowOff>
    </xdr:from>
    <xdr:to>
      <xdr:col>3</xdr:col>
      <xdr:colOff>350520</xdr:colOff>
      <xdr:row>2</xdr:row>
      <xdr:rowOff>0</xdr:rowOff>
    </xdr:to>
    <xdr:sp macro="" textlink="">
      <xdr:nvSpPr>
        <xdr:cNvPr id="6" name="Rectangle: Top Corners One Rounded and One Snipped 5">
          <a:extLst>
            <a:ext uri="{FF2B5EF4-FFF2-40B4-BE49-F238E27FC236}">
              <a16:creationId xmlns:a16="http://schemas.microsoft.com/office/drawing/2014/main" xmlns="" id="{E151F327-064E-4C57-833F-D5A8AC65BA0B}"/>
            </a:ext>
          </a:extLst>
        </xdr:cNvPr>
        <xdr:cNvSpPr/>
      </xdr:nvSpPr>
      <xdr:spPr>
        <a:xfrm>
          <a:off x="358140" y="68580"/>
          <a:ext cx="1600200" cy="312420"/>
        </a:xfrm>
        <a:prstGeom prst="snipRoundRect">
          <a:avLst/>
        </a:prstGeom>
        <a:solidFill>
          <a:schemeClr val="accent1">
            <a:lumMod val="60000"/>
            <a:lumOff val="40000"/>
          </a:schemeClr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Un-insulated</a:t>
          </a:r>
          <a:r>
            <a:rPr lang="en-GB" sz="110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 flange</a:t>
          </a:r>
          <a:endParaRPr lang="en-GB" sz="11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518360</xdr:colOff>
      <xdr:row>24</xdr:row>
      <xdr:rowOff>60960</xdr:rowOff>
    </xdr:from>
    <xdr:to>
      <xdr:col>10</xdr:col>
      <xdr:colOff>466182</xdr:colOff>
      <xdr:row>26</xdr:row>
      <xdr:rowOff>45720</xdr:rowOff>
    </xdr:to>
    <xdr:sp macro="" textlink="">
      <xdr:nvSpPr>
        <xdr:cNvPr id="7" name="Flowchart: Terminator 6">
          <a:extLst>
            <a:ext uri="{FF2B5EF4-FFF2-40B4-BE49-F238E27FC236}">
              <a16:creationId xmlns:a16="http://schemas.microsoft.com/office/drawing/2014/main" xmlns="" id="{55B6BF39-70F8-434A-8337-E74F67BA67D0}"/>
            </a:ext>
          </a:extLst>
        </xdr:cNvPr>
        <xdr:cNvSpPr/>
      </xdr:nvSpPr>
      <xdr:spPr>
        <a:xfrm>
          <a:off x="4282640" y="4419600"/>
          <a:ext cx="1753762" cy="365760"/>
        </a:xfrm>
        <a:prstGeom prst="flowChartTerminator">
          <a:avLst/>
        </a:prstGeom>
        <a:solidFill>
          <a:schemeClr val="accent1">
            <a:lumMod val="60000"/>
            <a:lumOff val="4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/>
            <a:t>Comments</a:t>
          </a:r>
          <a:r>
            <a:rPr lang="en-GB" sz="1100"/>
            <a:t> </a:t>
          </a:r>
        </a:p>
      </xdr:txBody>
    </xdr:sp>
    <xdr:clientData/>
  </xdr:twoCellAnchor>
  <xdr:twoCellAnchor>
    <xdr:from>
      <xdr:col>7</xdr:col>
      <xdr:colOff>532364</xdr:colOff>
      <xdr:row>21</xdr:row>
      <xdr:rowOff>76200</xdr:rowOff>
    </xdr:from>
    <xdr:to>
      <xdr:col>10</xdr:col>
      <xdr:colOff>487680</xdr:colOff>
      <xdr:row>23</xdr:row>
      <xdr:rowOff>76200</xdr:rowOff>
    </xdr:to>
    <xdr:sp macro="" textlink="">
      <xdr:nvSpPr>
        <xdr:cNvPr id="8" name="Flowchart: Terminator 7">
          <a:extLst>
            <a:ext uri="{FF2B5EF4-FFF2-40B4-BE49-F238E27FC236}">
              <a16:creationId xmlns:a16="http://schemas.microsoft.com/office/drawing/2014/main" xmlns="" id="{CF14A701-5507-434D-BB3D-EFFAC446F99A}"/>
            </a:ext>
          </a:extLst>
        </xdr:cNvPr>
        <xdr:cNvSpPr/>
      </xdr:nvSpPr>
      <xdr:spPr>
        <a:xfrm>
          <a:off x="4296644" y="3863340"/>
          <a:ext cx="1761256" cy="381000"/>
        </a:xfrm>
        <a:prstGeom prst="flowChartTerminator">
          <a:avLst/>
        </a:prstGeom>
        <a:solidFill>
          <a:schemeClr val="accent1">
            <a:lumMod val="60000"/>
            <a:lumOff val="4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/>
            <a:t>Space issue</a:t>
          </a:r>
          <a:endParaRPr lang="en-GB" sz="1100"/>
        </a:p>
      </xdr:txBody>
    </xdr:sp>
    <xdr:clientData/>
  </xdr:twoCellAnchor>
  <xdr:twoCellAnchor>
    <xdr:from>
      <xdr:col>7</xdr:col>
      <xdr:colOff>533400</xdr:colOff>
      <xdr:row>18</xdr:row>
      <xdr:rowOff>144780</xdr:rowOff>
    </xdr:from>
    <xdr:to>
      <xdr:col>10</xdr:col>
      <xdr:colOff>436253</xdr:colOff>
      <xdr:row>20</xdr:row>
      <xdr:rowOff>137160</xdr:rowOff>
    </xdr:to>
    <xdr:sp macro="" textlink="">
      <xdr:nvSpPr>
        <xdr:cNvPr id="9" name="Flowchart: Terminator 8">
          <a:extLst>
            <a:ext uri="{FF2B5EF4-FFF2-40B4-BE49-F238E27FC236}">
              <a16:creationId xmlns:a16="http://schemas.microsoft.com/office/drawing/2014/main" xmlns="" id="{0ADC7EF9-6ED1-48B3-859D-AC652A56342F}"/>
            </a:ext>
          </a:extLst>
        </xdr:cNvPr>
        <xdr:cNvSpPr/>
      </xdr:nvSpPr>
      <xdr:spPr>
        <a:xfrm>
          <a:off x="4297680" y="3360420"/>
          <a:ext cx="1708793" cy="373380"/>
        </a:xfrm>
        <a:prstGeom prst="flowChartTerminator">
          <a:avLst/>
        </a:prstGeom>
        <a:solidFill>
          <a:schemeClr val="accent1">
            <a:lumMod val="60000"/>
            <a:lumOff val="4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/>
            <a:t>Operational</a:t>
          </a:r>
          <a:r>
            <a:rPr lang="en-GB" sz="1600" baseline="0"/>
            <a:t> </a:t>
          </a:r>
          <a:r>
            <a:rPr lang="en-GB" sz="1600"/>
            <a:t> risk </a:t>
          </a:r>
          <a:r>
            <a:rPr lang="en-GB" sz="1100"/>
            <a:t> </a:t>
          </a:r>
        </a:p>
      </xdr:txBody>
    </xdr:sp>
    <xdr:clientData/>
  </xdr:twoCellAnchor>
  <xdr:twoCellAnchor>
    <xdr:from>
      <xdr:col>7</xdr:col>
      <xdr:colOff>563880</xdr:colOff>
      <xdr:row>16</xdr:row>
      <xdr:rowOff>7620</xdr:rowOff>
    </xdr:from>
    <xdr:to>
      <xdr:col>10</xdr:col>
      <xdr:colOff>466733</xdr:colOff>
      <xdr:row>18</xdr:row>
      <xdr:rowOff>0</xdr:rowOff>
    </xdr:to>
    <xdr:sp macro="" textlink="">
      <xdr:nvSpPr>
        <xdr:cNvPr id="10" name="Flowchart: Terminator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BED753DC-F2EB-48E2-AAEC-3C658FCC5A20}"/>
            </a:ext>
          </a:extLst>
        </xdr:cNvPr>
        <xdr:cNvSpPr/>
      </xdr:nvSpPr>
      <xdr:spPr>
        <a:xfrm>
          <a:off x="4328160" y="2842260"/>
          <a:ext cx="1708793" cy="373380"/>
        </a:xfrm>
        <a:prstGeom prst="flowChartTerminator">
          <a:avLst/>
        </a:prstGeom>
        <a:solidFill>
          <a:schemeClr val="accent1">
            <a:lumMod val="60000"/>
            <a:lumOff val="4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/>
            <a:t>Safety risk </a:t>
          </a:r>
          <a:r>
            <a:rPr lang="en-GB" sz="1100"/>
            <a:t> </a:t>
          </a:r>
        </a:p>
      </xdr:txBody>
    </xdr:sp>
    <xdr:clientData/>
  </xdr:twoCellAnchor>
  <xdr:twoCellAnchor>
    <xdr:from>
      <xdr:col>16</xdr:col>
      <xdr:colOff>312420</xdr:colOff>
      <xdr:row>0</xdr:row>
      <xdr:rowOff>99060</xdr:rowOff>
    </xdr:from>
    <xdr:to>
      <xdr:col>18</xdr:col>
      <xdr:colOff>7620</xdr:colOff>
      <xdr:row>1</xdr:row>
      <xdr:rowOff>121920</xdr:rowOff>
    </xdr:to>
    <xdr:sp macro="" textlink="">
      <xdr:nvSpPr>
        <xdr:cNvPr id="12" name="Flowchart: Terminator 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AFDD1B28-E75A-432B-BEE8-7E6E9AE94D0E}"/>
            </a:ext>
          </a:extLst>
        </xdr:cNvPr>
        <xdr:cNvSpPr/>
      </xdr:nvSpPr>
      <xdr:spPr>
        <a:xfrm>
          <a:off x="9685020" y="99060"/>
          <a:ext cx="685800" cy="213360"/>
        </a:xfrm>
        <a:prstGeom prst="flowChartTerminator">
          <a:avLst/>
        </a:prstGeom>
        <a:solidFill>
          <a:schemeClr val="accent6">
            <a:lumMod val="5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 b="1"/>
            <a:t>End </a:t>
          </a:r>
        </a:p>
      </xdr:txBody>
    </xdr:sp>
    <xdr:clientData/>
  </xdr:twoCellAnchor>
  <xdr:twoCellAnchor editAs="oneCell">
    <xdr:from>
      <xdr:col>13</xdr:col>
      <xdr:colOff>121924</xdr:colOff>
      <xdr:row>39</xdr:row>
      <xdr:rowOff>137161</xdr:rowOff>
    </xdr:from>
    <xdr:to>
      <xdr:col>13</xdr:col>
      <xdr:colOff>358143</xdr:colOff>
      <xdr:row>43</xdr:row>
      <xdr:rowOff>129541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D0639833-720F-4AB1-AE9D-7A318A15D6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26107"/>
        <a:stretch/>
      </xdr:blipFill>
      <xdr:spPr>
        <a:xfrm rot="16200000">
          <a:off x="7292344" y="7520941"/>
          <a:ext cx="723900" cy="236219"/>
        </a:xfrm>
        <a:prstGeom prst="rect">
          <a:avLst/>
        </a:prstGeom>
      </xdr:spPr>
    </xdr:pic>
    <xdr:clientData/>
  </xdr:twoCellAnchor>
  <xdr:twoCellAnchor editAs="oneCell">
    <xdr:from>
      <xdr:col>14</xdr:col>
      <xdr:colOff>219714</xdr:colOff>
      <xdr:row>40</xdr:row>
      <xdr:rowOff>115573</xdr:rowOff>
    </xdr:from>
    <xdr:to>
      <xdr:col>14</xdr:col>
      <xdr:colOff>394973</xdr:colOff>
      <xdr:row>43</xdr:row>
      <xdr:rowOff>151129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936DF705-98DA-44B9-949F-9ADEADEDD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 rot="16200000">
          <a:off x="8031486" y="7642861"/>
          <a:ext cx="584196" cy="175259"/>
        </a:xfrm>
        <a:prstGeom prst="rect">
          <a:avLst/>
        </a:prstGeom>
      </xdr:spPr>
    </xdr:pic>
    <xdr:clientData/>
  </xdr:twoCellAnchor>
  <xdr:twoCellAnchor editAs="oneCell">
    <xdr:from>
      <xdr:col>16</xdr:col>
      <xdr:colOff>147530</xdr:colOff>
      <xdr:row>36</xdr:row>
      <xdr:rowOff>172512</xdr:rowOff>
    </xdr:from>
    <xdr:to>
      <xdr:col>16</xdr:col>
      <xdr:colOff>543769</xdr:colOff>
      <xdr:row>43</xdr:row>
      <xdr:rowOff>246589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234711C5-74A3-4057-A5C6-AC700D5E3B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4333" t="38094" r="77667"/>
        <a:stretch/>
      </xdr:blipFill>
      <xdr:spPr>
        <a:xfrm rot="16200000">
          <a:off x="9041131" y="7242811"/>
          <a:ext cx="1354237" cy="396239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</xdr:colOff>
      <xdr:row>54</xdr:row>
      <xdr:rowOff>152400</xdr:rowOff>
    </xdr:from>
    <xdr:to>
      <xdr:col>12</xdr:col>
      <xdr:colOff>509694</xdr:colOff>
      <xdr:row>56</xdr:row>
      <xdr:rowOff>152400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xmlns="" id="{3E90B701-5753-478D-85C0-BBA9FA940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00700" y="10645140"/>
          <a:ext cx="1652694" cy="365760"/>
        </a:xfrm>
        <a:prstGeom prst="rect">
          <a:avLst/>
        </a:prstGeom>
      </xdr:spPr>
    </xdr:pic>
    <xdr:clientData/>
  </xdr:twoCellAnchor>
  <xdr:twoCellAnchor>
    <xdr:from>
      <xdr:col>14</xdr:col>
      <xdr:colOff>373380</xdr:colOff>
      <xdr:row>47</xdr:row>
      <xdr:rowOff>60960</xdr:rowOff>
    </xdr:from>
    <xdr:to>
      <xdr:col>20</xdr:col>
      <xdr:colOff>297180</xdr:colOff>
      <xdr:row>49</xdr:row>
      <xdr:rowOff>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xmlns="" id="{F27BF9A2-784C-4C84-952D-977C2A4DC6DA}"/>
            </a:ext>
          </a:extLst>
        </xdr:cNvPr>
        <xdr:cNvCxnSpPr/>
      </xdr:nvCxnSpPr>
      <xdr:spPr>
        <a:xfrm flipH="1" flipV="1">
          <a:off x="8389620" y="9090660"/>
          <a:ext cx="3329940" cy="411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83820</xdr:colOff>
      <xdr:row>53</xdr:row>
      <xdr:rowOff>114300</xdr:rowOff>
    </xdr:from>
    <xdr:to>
      <xdr:col>1</xdr:col>
      <xdr:colOff>281940</xdr:colOff>
      <xdr:row>55</xdr:row>
      <xdr:rowOff>152400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xmlns="" id="{B17E0185-92DB-4E7E-8E3B-0A3BDE3A2E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11597" r="32278"/>
        <a:stretch/>
      </xdr:blipFill>
      <xdr:spPr>
        <a:xfrm>
          <a:off x="83820" y="10416540"/>
          <a:ext cx="556260" cy="403860"/>
        </a:xfrm>
        <a:prstGeom prst="rect">
          <a:avLst/>
        </a:prstGeom>
      </xdr:spPr>
    </xdr:pic>
    <xdr:clientData/>
  </xdr:twoCellAnchor>
  <xdr:twoCellAnchor editAs="oneCell">
    <xdr:from>
      <xdr:col>9</xdr:col>
      <xdr:colOff>327660</xdr:colOff>
      <xdr:row>11</xdr:row>
      <xdr:rowOff>129540</xdr:rowOff>
    </xdr:from>
    <xdr:to>
      <xdr:col>10</xdr:col>
      <xdr:colOff>403860</xdr:colOff>
      <xdr:row>14</xdr:row>
      <xdr:rowOff>102331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xmlns="" id="{9444243C-C798-4FA0-A1E4-817E2220D6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/>
        <a:srcRect t="4072" b="13582"/>
        <a:stretch/>
      </xdr:blipFill>
      <xdr:spPr>
        <a:xfrm>
          <a:off x="5295900" y="2011680"/>
          <a:ext cx="678180" cy="544291"/>
        </a:xfrm>
        <a:prstGeom prst="rect">
          <a:avLst/>
        </a:prstGeom>
        <a:effectLst>
          <a:softEdge rad="76200"/>
        </a:effectLst>
      </xdr:spPr>
    </xdr:pic>
    <xdr:clientData/>
  </xdr:twoCellAnchor>
  <xdr:twoCellAnchor>
    <xdr:from>
      <xdr:col>18</xdr:col>
      <xdr:colOff>30480</xdr:colOff>
      <xdr:row>71</xdr:row>
      <xdr:rowOff>30480</xdr:rowOff>
    </xdr:from>
    <xdr:to>
      <xdr:col>20</xdr:col>
      <xdr:colOff>45720</xdr:colOff>
      <xdr:row>72</xdr:row>
      <xdr:rowOff>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885AADBB-430E-40AD-9CAD-2487BAEFE642}"/>
            </a:ext>
          </a:extLst>
        </xdr:cNvPr>
        <xdr:cNvCxnSpPr/>
      </xdr:nvCxnSpPr>
      <xdr:spPr>
        <a:xfrm flipH="1" flipV="1">
          <a:off x="10393680" y="13723620"/>
          <a:ext cx="1074420" cy="11353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556260</xdr:colOff>
      <xdr:row>9</xdr:row>
      <xdr:rowOff>99060</xdr:rowOff>
    </xdr:from>
    <xdr:to>
      <xdr:col>16</xdr:col>
      <xdr:colOff>457200</xdr:colOff>
      <xdr:row>11</xdr:row>
      <xdr:rowOff>83820</xdr:rowOff>
    </xdr:to>
    <xdr:sp macro="" textlink="">
      <xdr:nvSpPr>
        <xdr:cNvPr id="22" name="Flowchart: Terminator 21">
          <a:extLst>
            <a:ext uri="{FF2B5EF4-FFF2-40B4-BE49-F238E27FC236}">
              <a16:creationId xmlns:a16="http://schemas.microsoft.com/office/drawing/2014/main" xmlns="" id="{EC3AE198-5C6A-4CCF-90B2-81DDDB4FD88C}"/>
            </a:ext>
          </a:extLst>
        </xdr:cNvPr>
        <xdr:cNvSpPr/>
      </xdr:nvSpPr>
      <xdr:spPr>
        <a:xfrm>
          <a:off x="8572500" y="1600200"/>
          <a:ext cx="1257300" cy="365760"/>
        </a:xfrm>
        <a:prstGeom prst="flowChartTerminator">
          <a:avLst/>
        </a:prstGeom>
        <a:solidFill>
          <a:schemeClr val="accent6"/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/>
            <a:t>TIPCHECK</a:t>
          </a:r>
          <a:r>
            <a:rPr lang="en-GB" sz="1100"/>
            <a:t> </a:t>
          </a:r>
        </a:p>
      </xdr:txBody>
    </xdr:sp>
    <xdr:clientData/>
  </xdr:twoCellAnchor>
  <xdr:twoCellAnchor editAs="oneCell">
    <xdr:from>
      <xdr:col>16</xdr:col>
      <xdr:colOff>556260</xdr:colOff>
      <xdr:row>9</xdr:row>
      <xdr:rowOff>15240</xdr:rowOff>
    </xdr:from>
    <xdr:to>
      <xdr:col>18</xdr:col>
      <xdr:colOff>76200</xdr:colOff>
      <xdr:row>11</xdr:row>
      <xdr:rowOff>144780</xdr:rowOff>
    </xdr:to>
    <xdr:pic>
      <xdr:nvPicPr>
        <xdr:cNvPr id="25" name="Graphic 24" descr="Shar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xmlns="" id="{A3DC0880-4B27-47AF-B182-BEE8EEEB4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tretch>
          <a:fillRect/>
        </a:stretch>
      </xdr:blipFill>
      <xdr:spPr>
        <a:xfrm>
          <a:off x="9928860" y="1516380"/>
          <a:ext cx="510540" cy="510540"/>
        </a:xfrm>
        <a:prstGeom prst="rect">
          <a:avLst/>
        </a:prstGeom>
      </xdr:spPr>
    </xdr:pic>
    <xdr:clientData/>
  </xdr:twoCellAnchor>
  <xdr:twoCellAnchor>
    <xdr:from>
      <xdr:col>15</xdr:col>
      <xdr:colOff>114300</xdr:colOff>
      <xdr:row>0</xdr:row>
      <xdr:rowOff>83820</xdr:rowOff>
    </xdr:from>
    <xdr:to>
      <xdr:col>16</xdr:col>
      <xdr:colOff>205740</xdr:colOff>
      <xdr:row>1</xdr:row>
      <xdr:rowOff>114300</xdr:rowOff>
    </xdr:to>
    <xdr:sp macro="" textlink="">
      <xdr:nvSpPr>
        <xdr:cNvPr id="26" name="Flowchart: Terminator 2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xmlns="" id="{38039E35-B87A-4CC1-B3C6-A66486EE6C2A}"/>
            </a:ext>
          </a:extLst>
        </xdr:cNvPr>
        <xdr:cNvSpPr/>
      </xdr:nvSpPr>
      <xdr:spPr>
        <a:xfrm>
          <a:off x="8884920" y="83820"/>
          <a:ext cx="693420" cy="220980"/>
        </a:xfrm>
        <a:prstGeom prst="flowChartTerminator">
          <a:avLst/>
        </a:prstGeom>
        <a:noFill/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 b="1"/>
            <a:t>back   </a:t>
          </a:r>
        </a:p>
      </xdr:txBody>
    </xdr:sp>
    <xdr:clientData/>
  </xdr:twoCellAnchor>
  <xdr:twoCellAnchor editAs="oneCell">
    <xdr:from>
      <xdr:col>23</xdr:col>
      <xdr:colOff>99060</xdr:colOff>
      <xdr:row>11</xdr:row>
      <xdr:rowOff>76201</xdr:rowOff>
    </xdr:from>
    <xdr:to>
      <xdr:col>23</xdr:col>
      <xdr:colOff>545298</xdr:colOff>
      <xdr:row>13</xdr:row>
      <xdr:rowOff>53341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xmlns="" id="{1B58442D-AA56-4A69-BB80-661FF7CEE9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 cstate="print"/>
        <a:srcRect t="4072" b="13582"/>
        <a:stretch/>
      </xdr:blipFill>
      <xdr:spPr>
        <a:xfrm>
          <a:off x="13350240" y="1905001"/>
          <a:ext cx="446238" cy="358140"/>
        </a:xfrm>
        <a:prstGeom prst="rect">
          <a:avLst/>
        </a:prstGeom>
        <a:effectLst>
          <a:softEdge rad="76200"/>
        </a:effectLst>
      </xdr:spPr>
    </xdr:pic>
    <xdr:clientData/>
  </xdr:twoCellAnchor>
  <xdr:twoCellAnchor editAs="oneCell">
    <xdr:from>
      <xdr:col>1</xdr:col>
      <xdr:colOff>76200</xdr:colOff>
      <xdr:row>24</xdr:row>
      <xdr:rowOff>22860</xdr:rowOff>
    </xdr:from>
    <xdr:to>
      <xdr:col>2</xdr:col>
      <xdr:colOff>7620</xdr:colOff>
      <xdr:row>25</xdr:row>
      <xdr:rowOff>184344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xmlns="" id="{7B724C74-62AB-4582-9D38-CF7EB528E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434340" y="4328160"/>
          <a:ext cx="289560" cy="351984"/>
        </a:xfrm>
        <a:prstGeom prst="rect">
          <a:avLst/>
        </a:prstGeom>
      </xdr:spPr>
    </xdr:pic>
    <xdr:clientData/>
  </xdr:twoCellAnchor>
  <xdr:twoCellAnchor>
    <xdr:from>
      <xdr:col>14</xdr:col>
      <xdr:colOff>739140</xdr:colOff>
      <xdr:row>18</xdr:row>
      <xdr:rowOff>60960</xdr:rowOff>
    </xdr:from>
    <xdr:to>
      <xdr:col>15</xdr:col>
      <xdr:colOff>121920</xdr:colOff>
      <xdr:row>18</xdr:row>
      <xdr:rowOff>60960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xmlns="" id="{8535D940-6750-4778-99B7-9E4E27C64EDB}"/>
            </a:ext>
          </a:extLst>
        </xdr:cNvPr>
        <xdr:cNvCxnSpPr/>
      </xdr:nvCxnSpPr>
      <xdr:spPr>
        <a:xfrm>
          <a:off x="8755380" y="3223260"/>
          <a:ext cx="1371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19</xdr:row>
      <xdr:rowOff>137160</xdr:rowOff>
    </xdr:from>
    <xdr:to>
      <xdr:col>15</xdr:col>
      <xdr:colOff>137160</xdr:colOff>
      <xdr:row>19</xdr:row>
      <xdr:rowOff>137160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xmlns="" id="{0B7A72FD-926B-44C6-8723-EB097ADF8FF4}"/>
            </a:ext>
          </a:extLst>
        </xdr:cNvPr>
        <xdr:cNvCxnSpPr/>
      </xdr:nvCxnSpPr>
      <xdr:spPr>
        <a:xfrm>
          <a:off x="8770620" y="3489960"/>
          <a:ext cx="1371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10</xdr:col>
      <xdr:colOff>30480</xdr:colOff>
      <xdr:row>127</xdr:row>
      <xdr:rowOff>152400</xdr:rowOff>
    </xdr:from>
    <xdr:ext cx="1652694" cy="381000"/>
    <xdr:pic>
      <xdr:nvPicPr>
        <xdr:cNvPr id="32" name="Picture 31">
          <a:extLst>
            <a:ext uri="{FF2B5EF4-FFF2-40B4-BE49-F238E27FC236}">
              <a16:creationId xmlns:a16="http://schemas.microsoft.com/office/drawing/2014/main" xmlns="" id="{48C223AB-9453-4445-8900-CC25191FF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00700" y="10782300"/>
          <a:ext cx="1652694" cy="381000"/>
        </a:xfrm>
        <a:prstGeom prst="rect">
          <a:avLst/>
        </a:prstGeom>
      </xdr:spPr>
    </xdr:pic>
    <xdr:clientData/>
  </xdr:oneCellAnchor>
  <xdr:twoCellAnchor>
    <xdr:from>
      <xdr:col>14</xdr:col>
      <xdr:colOff>373380</xdr:colOff>
      <xdr:row>120</xdr:row>
      <xdr:rowOff>60960</xdr:rowOff>
    </xdr:from>
    <xdr:to>
      <xdr:col>20</xdr:col>
      <xdr:colOff>297180</xdr:colOff>
      <xdr:row>122</xdr:row>
      <xdr:rowOff>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CAD7126C-8385-4AF7-8E4D-76058F461CD3}"/>
            </a:ext>
          </a:extLst>
        </xdr:cNvPr>
        <xdr:cNvCxnSpPr/>
      </xdr:nvCxnSpPr>
      <xdr:spPr>
        <a:xfrm flipH="1" flipV="1">
          <a:off x="8389620" y="9227820"/>
          <a:ext cx="3573780" cy="411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83820</xdr:colOff>
      <xdr:row>126</xdr:row>
      <xdr:rowOff>114300</xdr:rowOff>
    </xdr:from>
    <xdr:ext cx="556260" cy="419100"/>
    <xdr:pic>
      <xdr:nvPicPr>
        <xdr:cNvPr id="34" name="Picture 33">
          <a:extLst>
            <a:ext uri="{FF2B5EF4-FFF2-40B4-BE49-F238E27FC236}">
              <a16:creationId xmlns:a16="http://schemas.microsoft.com/office/drawing/2014/main" xmlns="" id="{33EEB7BA-1484-4DDB-B785-5D9E99992D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11597" r="32278"/>
        <a:stretch/>
      </xdr:blipFill>
      <xdr:spPr>
        <a:xfrm>
          <a:off x="83820" y="10553700"/>
          <a:ext cx="556260" cy="419100"/>
        </a:xfrm>
        <a:prstGeom prst="rect">
          <a:avLst/>
        </a:prstGeom>
      </xdr:spPr>
    </xdr:pic>
    <xdr:clientData/>
  </xdr:oneCellAnchor>
  <xdr:twoCellAnchor>
    <xdr:from>
      <xdr:col>10</xdr:col>
      <xdr:colOff>312420</xdr:colOff>
      <xdr:row>11</xdr:row>
      <xdr:rowOff>0</xdr:rowOff>
    </xdr:from>
    <xdr:to>
      <xdr:col>19</xdr:col>
      <xdr:colOff>373380</xdr:colOff>
      <xdr:row>12</xdr:row>
      <xdr:rowOff>91440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xmlns="" id="{712FC954-1916-47DD-939C-7F175758AA80}"/>
            </a:ext>
          </a:extLst>
        </xdr:cNvPr>
        <xdr:cNvCxnSpPr/>
      </xdr:nvCxnSpPr>
      <xdr:spPr>
        <a:xfrm flipV="1">
          <a:off x="6027420" y="1828800"/>
          <a:ext cx="5646420" cy="281940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99060</xdr:colOff>
      <xdr:row>25</xdr:row>
      <xdr:rowOff>182880</xdr:rowOff>
    </xdr:from>
    <xdr:to>
      <xdr:col>18</xdr:col>
      <xdr:colOff>7620</xdr:colOff>
      <xdr:row>27</xdr:row>
      <xdr:rowOff>140525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6AAAF8C3-29F0-415E-B784-91CB2A3B5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424160" y="4693920"/>
          <a:ext cx="297180" cy="3386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350520</xdr:colOff>
      <xdr:row>6</xdr:row>
      <xdr:rowOff>68581</xdr:rowOff>
    </xdr:from>
    <xdr:to>
      <xdr:col>2</xdr:col>
      <xdr:colOff>388620</xdr:colOff>
      <xdr:row>8</xdr:row>
      <xdr:rowOff>160021</xdr:rowOff>
    </xdr:to>
    <xdr:pic>
      <xdr:nvPicPr>
        <xdr:cNvPr id="5" name="Pictur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5526BFEC-04A0-45AB-BB3B-E6DA26DBA1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/>
        <a:srcRect t="4629"/>
        <a:stretch/>
      </xdr:blipFill>
      <xdr:spPr>
        <a:xfrm>
          <a:off x="708660" y="998221"/>
          <a:ext cx="396240" cy="4572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68580</xdr:rowOff>
    </xdr:from>
    <xdr:to>
      <xdr:col>3</xdr:col>
      <xdr:colOff>350520</xdr:colOff>
      <xdr:row>2</xdr:row>
      <xdr:rowOff>0</xdr:rowOff>
    </xdr:to>
    <xdr:sp macro="" textlink="">
      <xdr:nvSpPr>
        <xdr:cNvPr id="6" name="Rectangle: Top Corners One Rounded and One Snipped 5">
          <a:extLst>
            <a:ext uri="{FF2B5EF4-FFF2-40B4-BE49-F238E27FC236}">
              <a16:creationId xmlns:a16="http://schemas.microsoft.com/office/drawing/2014/main" xmlns="" id="{6810BA30-2392-4ED7-9BCC-5E5E0F84866B}"/>
            </a:ext>
          </a:extLst>
        </xdr:cNvPr>
        <xdr:cNvSpPr/>
      </xdr:nvSpPr>
      <xdr:spPr>
        <a:xfrm>
          <a:off x="358140" y="68580"/>
          <a:ext cx="1600200" cy="312420"/>
        </a:xfrm>
        <a:prstGeom prst="snipRoundRect">
          <a:avLst/>
        </a:prstGeom>
        <a:solidFill>
          <a:schemeClr val="accent1">
            <a:lumMod val="60000"/>
            <a:lumOff val="40000"/>
          </a:schemeClr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Uninsulated</a:t>
          </a:r>
          <a:r>
            <a:rPr lang="en-GB" sz="110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 pipe</a:t>
          </a:r>
          <a:endParaRPr lang="en-GB" sz="11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518360</xdr:colOff>
      <xdr:row>24</xdr:row>
      <xdr:rowOff>60960</xdr:rowOff>
    </xdr:from>
    <xdr:to>
      <xdr:col>10</xdr:col>
      <xdr:colOff>466182</xdr:colOff>
      <xdr:row>26</xdr:row>
      <xdr:rowOff>45720</xdr:rowOff>
    </xdr:to>
    <xdr:sp macro="" textlink="">
      <xdr:nvSpPr>
        <xdr:cNvPr id="7" name="Flowchart: Terminator 6">
          <a:extLst>
            <a:ext uri="{FF2B5EF4-FFF2-40B4-BE49-F238E27FC236}">
              <a16:creationId xmlns:a16="http://schemas.microsoft.com/office/drawing/2014/main" xmlns="" id="{0F2EF39D-1DD4-4BA0-A0D3-B479DD70B620}"/>
            </a:ext>
          </a:extLst>
        </xdr:cNvPr>
        <xdr:cNvSpPr/>
      </xdr:nvSpPr>
      <xdr:spPr>
        <a:xfrm>
          <a:off x="4282640" y="4419600"/>
          <a:ext cx="1753762" cy="365760"/>
        </a:xfrm>
        <a:prstGeom prst="flowChartTerminator">
          <a:avLst/>
        </a:prstGeom>
        <a:solidFill>
          <a:schemeClr val="accent1">
            <a:lumMod val="60000"/>
            <a:lumOff val="4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/>
            <a:t>Comments</a:t>
          </a:r>
          <a:r>
            <a:rPr lang="en-GB" sz="1100"/>
            <a:t> </a:t>
          </a:r>
        </a:p>
      </xdr:txBody>
    </xdr:sp>
    <xdr:clientData/>
  </xdr:twoCellAnchor>
  <xdr:twoCellAnchor>
    <xdr:from>
      <xdr:col>7</xdr:col>
      <xdr:colOff>532364</xdr:colOff>
      <xdr:row>21</xdr:row>
      <xdr:rowOff>76200</xdr:rowOff>
    </xdr:from>
    <xdr:to>
      <xdr:col>10</xdr:col>
      <xdr:colOff>487680</xdr:colOff>
      <xdr:row>23</xdr:row>
      <xdr:rowOff>76200</xdr:rowOff>
    </xdr:to>
    <xdr:sp macro="" textlink="">
      <xdr:nvSpPr>
        <xdr:cNvPr id="8" name="Flowchart: Terminator 7">
          <a:extLst>
            <a:ext uri="{FF2B5EF4-FFF2-40B4-BE49-F238E27FC236}">
              <a16:creationId xmlns:a16="http://schemas.microsoft.com/office/drawing/2014/main" xmlns="" id="{348B351D-DE52-4618-B63F-9C1B0EF80055}"/>
            </a:ext>
          </a:extLst>
        </xdr:cNvPr>
        <xdr:cNvSpPr/>
      </xdr:nvSpPr>
      <xdr:spPr>
        <a:xfrm>
          <a:off x="4296644" y="3863340"/>
          <a:ext cx="1761256" cy="381000"/>
        </a:xfrm>
        <a:prstGeom prst="flowChartTerminator">
          <a:avLst/>
        </a:prstGeom>
        <a:solidFill>
          <a:schemeClr val="accent1">
            <a:lumMod val="60000"/>
            <a:lumOff val="4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/>
            <a:t>Space issue</a:t>
          </a:r>
          <a:endParaRPr lang="en-GB" sz="1100"/>
        </a:p>
      </xdr:txBody>
    </xdr:sp>
    <xdr:clientData/>
  </xdr:twoCellAnchor>
  <xdr:twoCellAnchor>
    <xdr:from>
      <xdr:col>7</xdr:col>
      <xdr:colOff>533400</xdr:colOff>
      <xdr:row>18</xdr:row>
      <xdr:rowOff>144780</xdr:rowOff>
    </xdr:from>
    <xdr:to>
      <xdr:col>10</xdr:col>
      <xdr:colOff>436253</xdr:colOff>
      <xdr:row>20</xdr:row>
      <xdr:rowOff>137160</xdr:rowOff>
    </xdr:to>
    <xdr:sp macro="" textlink="">
      <xdr:nvSpPr>
        <xdr:cNvPr id="9" name="Flowchart: Terminator 8">
          <a:extLst>
            <a:ext uri="{FF2B5EF4-FFF2-40B4-BE49-F238E27FC236}">
              <a16:creationId xmlns:a16="http://schemas.microsoft.com/office/drawing/2014/main" xmlns="" id="{C03FBA68-79EF-4705-9655-F377EEB7ABBA}"/>
            </a:ext>
          </a:extLst>
        </xdr:cNvPr>
        <xdr:cNvSpPr/>
      </xdr:nvSpPr>
      <xdr:spPr>
        <a:xfrm>
          <a:off x="4297680" y="3360420"/>
          <a:ext cx="1708793" cy="373380"/>
        </a:xfrm>
        <a:prstGeom prst="flowChartTerminator">
          <a:avLst/>
        </a:prstGeom>
        <a:solidFill>
          <a:schemeClr val="accent1">
            <a:lumMod val="60000"/>
            <a:lumOff val="4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/>
            <a:t>Operational</a:t>
          </a:r>
          <a:r>
            <a:rPr lang="en-GB" sz="1600" baseline="0"/>
            <a:t> </a:t>
          </a:r>
          <a:r>
            <a:rPr lang="en-GB" sz="1600"/>
            <a:t> risk </a:t>
          </a:r>
          <a:r>
            <a:rPr lang="en-GB" sz="1100"/>
            <a:t> </a:t>
          </a:r>
        </a:p>
      </xdr:txBody>
    </xdr:sp>
    <xdr:clientData/>
  </xdr:twoCellAnchor>
  <xdr:twoCellAnchor>
    <xdr:from>
      <xdr:col>7</xdr:col>
      <xdr:colOff>563880</xdr:colOff>
      <xdr:row>16</xdr:row>
      <xdr:rowOff>7620</xdr:rowOff>
    </xdr:from>
    <xdr:to>
      <xdr:col>10</xdr:col>
      <xdr:colOff>466733</xdr:colOff>
      <xdr:row>18</xdr:row>
      <xdr:rowOff>0</xdr:rowOff>
    </xdr:to>
    <xdr:sp macro="" textlink="">
      <xdr:nvSpPr>
        <xdr:cNvPr id="10" name="Flowchart: Terminator 9">
          <a:extLst>
            <a:ext uri="{FF2B5EF4-FFF2-40B4-BE49-F238E27FC236}">
              <a16:creationId xmlns:a16="http://schemas.microsoft.com/office/drawing/2014/main" xmlns="" id="{6BC37F2F-F750-4942-B1FD-21010960619C}"/>
            </a:ext>
          </a:extLst>
        </xdr:cNvPr>
        <xdr:cNvSpPr/>
      </xdr:nvSpPr>
      <xdr:spPr>
        <a:xfrm>
          <a:off x="4328160" y="2842260"/>
          <a:ext cx="1708793" cy="373380"/>
        </a:xfrm>
        <a:prstGeom prst="flowChartTerminator">
          <a:avLst/>
        </a:prstGeom>
        <a:solidFill>
          <a:schemeClr val="accent1">
            <a:lumMod val="60000"/>
            <a:lumOff val="4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/>
            <a:t>Safety risk </a:t>
          </a:r>
          <a:r>
            <a:rPr lang="en-GB" sz="1100"/>
            <a:t> </a:t>
          </a:r>
        </a:p>
      </xdr:txBody>
    </xdr:sp>
    <xdr:clientData/>
  </xdr:twoCellAnchor>
  <xdr:twoCellAnchor>
    <xdr:from>
      <xdr:col>16</xdr:col>
      <xdr:colOff>312420</xdr:colOff>
      <xdr:row>0</xdr:row>
      <xdr:rowOff>99060</xdr:rowOff>
    </xdr:from>
    <xdr:to>
      <xdr:col>18</xdr:col>
      <xdr:colOff>7620</xdr:colOff>
      <xdr:row>1</xdr:row>
      <xdr:rowOff>121920</xdr:rowOff>
    </xdr:to>
    <xdr:sp macro="" textlink="">
      <xdr:nvSpPr>
        <xdr:cNvPr id="12" name="Flowchart: Terminator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3B146EEF-A7FF-4762-BB32-5535C3E69B1B}"/>
            </a:ext>
          </a:extLst>
        </xdr:cNvPr>
        <xdr:cNvSpPr/>
      </xdr:nvSpPr>
      <xdr:spPr>
        <a:xfrm>
          <a:off x="9685020" y="99060"/>
          <a:ext cx="685800" cy="213360"/>
        </a:xfrm>
        <a:prstGeom prst="flowChartTerminator">
          <a:avLst/>
        </a:prstGeom>
        <a:solidFill>
          <a:schemeClr val="accent6">
            <a:lumMod val="5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 b="1"/>
            <a:t>End </a:t>
          </a:r>
        </a:p>
      </xdr:txBody>
    </xdr:sp>
    <xdr:clientData/>
  </xdr:twoCellAnchor>
  <xdr:twoCellAnchor editAs="oneCell">
    <xdr:from>
      <xdr:col>13</xdr:col>
      <xdr:colOff>121924</xdr:colOff>
      <xdr:row>39</xdr:row>
      <xdr:rowOff>137161</xdr:rowOff>
    </xdr:from>
    <xdr:to>
      <xdr:col>13</xdr:col>
      <xdr:colOff>358143</xdr:colOff>
      <xdr:row>43</xdr:row>
      <xdr:rowOff>129541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CABE7E99-2893-4721-AF2B-596BC3A747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b="26107"/>
        <a:stretch/>
      </xdr:blipFill>
      <xdr:spPr>
        <a:xfrm rot="16200000">
          <a:off x="7292344" y="7520941"/>
          <a:ext cx="723900" cy="236219"/>
        </a:xfrm>
        <a:prstGeom prst="rect">
          <a:avLst/>
        </a:prstGeom>
      </xdr:spPr>
    </xdr:pic>
    <xdr:clientData/>
  </xdr:twoCellAnchor>
  <xdr:twoCellAnchor editAs="oneCell">
    <xdr:from>
      <xdr:col>14</xdr:col>
      <xdr:colOff>219714</xdr:colOff>
      <xdr:row>40</xdr:row>
      <xdr:rowOff>115573</xdr:rowOff>
    </xdr:from>
    <xdr:to>
      <xdr:col>14</xdr:col>
      <xdr:colOff>394973</xdr:colOff>
      <xdr:row>43</xdr:row>
      <xdr:rowOff>151129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A16A51B2-43F2-430C-995F-8B332BB7B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 rot="16200000">
          <a:off x="8031486" y="7642861"/>
          <a:ext cx="584196" cy="175259"/>
        </a:xfrm>
        <a:prstGeom prst="rect">
          <a:avLst/>
        </a:prstGeom>
      </xdr:spPr>
    </xdr:pic>
    <xdr:clientData/>
  </xdr:twoCellAnchor>
  <xdr:twoCellAnchor editAs="oneCell">
    <xdr:from>
      <xdr:col>16</xdr:col>
      <xdr:colOff>109431</xdr:colOff>
      <xdr:row>39</xdr:row>
      <xdr:rowOff>149652</xdr:rowOff>
    </xdr:from>
    <xdr:to>
      <xdr:col>16</xdr:col>
      <xdr:colOff>505670</xdr:colOff>
      <xdr:row>43</xdr:row>
      <xdr:rowOff>213360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1208BC02-A3B0-4D4C-AAC0-572C7CC801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4333" t="38094" r="77667"/>
        <a:stretch/>
      </xdr:blipFill>
      <xdr:spPr>
        <a:xfrm rot="16200000">
          <a:off x="9282537" y="7489086"/>
          <a:ext cx="795228" cy="396239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</xdr:colOff>
      <xdr:row>54</xdr:row>
      <xdr:rowOff>152400</xdr:rowOff>
    </xdr:from>
    <xdr:to>
      <xdr:col>12</xdr:col>
      <xdr:colOff>540174</xdr:colOff>
      <xdr:row>56</xdr:row>
      <xdr:rowOff>167640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xmlns="" id="{2254F78C-0B2D-4FED-A68C-E56252C2F9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600700" y="10645140"/>
          <a:ext cx="1652694" cy="381000"/>
        </a:xfrm>
        <a:prstGeom prst="rect">
          <a:avLst/>
        </a:prstGeom>
      </xdr:spPr>
    </xdr:pic>
    <xdr:clientData/>
  </xdr:twoCellAnchor>
  <xdr:twoCellAnchor>
    <xdr:from>
      <xdr:col>14</xdr:col>
      <xdr:colOff>373380</xdr:colOff>
      <xdr:row>47</xdr:row>
      <xdr:rowOff>60960</xdr:rowOff>
    </xdr:from>
    <xdr:to>
      <xdr:col>20</xdr:col>
      <xdr:colOff>297180</xdr:colOff>
      <xdr:row>49</xdr:row>
      <xdr:rowOff>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xmlns="" id="{A34D9498-561B-4100-8F17-C26FA31E9E04}"/>
            </a:ext>
          </a:extLst>
        </xdr:cNvPr>
        <xdr:cNvCxnSpPr/>
      </xdr:nvCxnSpPr>
      <xdr:spPr>
        <a:xfrm flipH="1" flipV="1">
          <a:off x="8389620" y="9090660"/>
          <a:ext cx="3329940" cy="411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83820</xdr:colOff>
      <xdr:row>53</xdr:row>
      <xdr:rowOff>114300</xdr:rowOff>
    </xdr:from>
    <xdr:to>
      <xdr:col>1</xdr:col>
      <xdr:colOff>281940</xdr:colOff>
      <xdr:row>55</xdr:row>
      <xdr:rowOff>167640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BB5FE256-DA59-44B5-B450-805CE7CCD2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11597" r="32278"/>
        <a:stretch/>
      </xdr:blipFill>
      <xdr:spPr>
        <a:xfrm>
          <a:off x="83820" y="10416540"/>
          <a:ext cx="556260" cy="419100"/>
        </a:xfrm>
        <a:prstGeom prst="rect">
          <a:avLst/>
        </a:prstGeom>
      </xdr:spPr>
    </xdr:pic>
    <xdr:clientData/>
  </xdr:twoCellAnchor>
  <xdr:twoCellAnchor>
    <xdr:from>
      <xdr:col>18</xdr:col>
      <xdr:colOff>30480</xdr:colOff>
      <xdr:row>71</xdr:row>
      <xdr:rowOff>30480</xdr:rowOff>
    </xdr:from>
    <xdr:to>
      <xdr:col>20</xdr:col>
      <xdr:colOff>45720</xdr:colOff>
      <xdr:row>72</xdr:row>
      <xdr:rowOff>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xmlns="" id="{9DD601DA-0503-453C-9BBD-FCCD225F4BAC}"/>
            </a:ext>
          </a:extLst>
        </xdr:cNvPr>
        <xdr:cNvCxnSpPr/>
      </xdr:nvCxnSpPr>
      <xdr:spPr>
        <a:xfrm flipH="1" flipV="1">
          <a:off x="10393680" y="13723620"/>
          <a:ext cx="1074420" cy="11353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541020</xdr:colOff>
      <xdr:row>8</xdr:row>
      <xdr:rowOff>175260</xdr:rowOff>
    </xdr:from>
    <xdr:to>
      <xdr:col>18</xdr:col>
      <xdr:colOff>60960</xdr:colOff>
      <xdr:row>11</xdr:row>
      <xdr:rowOff>114300</xdr:rowOff>
    </xdr:to>
    <xdr:pic>
      <xdr:nvPicPr>
        <xdr:cNvPr id="26" name="Graphic 25" descr="Shar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xmlns="" id="{9FF6E7CD-BD4E-4ECB-BEA7-927C5EA857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10264140" y="1447800"/>
          <a:ext cx="510540" cy="510540"/>
        </a:xfrm>
        <a:prstGeom prst="rect">
          <a:avLst/>
        </a:prstGeom>
      </xdr:spPr>
    </xdr:pic>
    <xdr:clientData/>
  </xdr:twoCellAnchor>
  <xdr:twoCellAnchor>
    <xdr:from>
      <xdr:col>15</xdr:col>
      <xdr:colOff>152400</xdr:colOff>
      <xdr:row>0</xdr:row>
      <xdr:rowOff>91440</xdr:rowOff>
    </xdr:from>
    <xdr:to>
      <xdr:col>16</xdr:col>
      <xdr:colOff>243840</xdr:colOff>
      <xdr:row>1</xdr:row>
      <xdr:rowOff>121920</xdr:rowOff>
    </xdr:to>
    <xdr:sp macro="" textlink="">
      <xdr:nvSpPr>
        <xdr:cNvPr id="27" name="Flowchart: Terminator 26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xmlns="" id="{D25C6A09-C049-4E9A-81A4-31BFC2BEA6A1}"/>
            </a:ext>
          </a:extLst>
        </xdr:cNvPr>
        <xdr:cNvSpPr/>
      </xdr:nvSpPr>
      <xdr:spPr>
        <a:xfrm>
          <a:off x="8923020" y="91440"/>
          <a:ext cx="693420" cy="220980"/>
        </a:xfrm>
        <a:prstGeom prst="flowChartTerminator">
          <a:avLst/>
        </a:prstGeom>
        <a:noFill/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 b="1"/>
            <a:t>back   </a:t>
          </a:r>
        </a:p>
      </xdr:txBody>
    </xdr:sp>
    <xdr:clientData/>
  </xdr:twoCellAnchor>
  <xdr:twoCellAnchor editAs="oneCell">
    <xdr:from>
      <xdr:col>1</xdr:col>
      <xdr:colOff>171574</xdr:colOff>
      <xdr:row>6</xdr:row>
      <xdr:rowOff>68581</xdr:rowOff>
    </xdr:from>
    <xdr:to>
      <xdr:col>2</xdr:col>
      <xdr:colOff>388620</xdr:colOff>
      <xdr:row>9</xdr:row>
      <xdr:rowOff>182880</xdr:rowOff>
    </xdr:to>
    <xdr:pic>
      <xdr:nvPicPr>
        <xdr:cNvPr id="29" name="Picture 28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xmlns="" id="{CCE3E928-0FF8-496E-B249-A4CCC34D31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 cstate="print"/>
        <a:srcRect t="4629"/>
        <a:stretch/>
      </xdr:blipFill>
      <xdr:spPr>
        <a:xfrm>
          <a:off x="529714" y="960121"/>
          <a:ext cx="575186" cy="68579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68580</xdr:rowOff>
    </xdr:from>
    <xdr:to>
      <xdr:col>3</xdr:col>
      <xdr:colOff>350520</xdr:colOff>
      <xdr:row>2</xdr:row>
      <xdr:rowOff>0</xdr:rowOff>
    </xdr:to>
    <xdr:sp macro="" textlink="">
      <xdr:nvSpPr>
        <xdr:cNvPr id="30" name="Rectangle: Top Corners One Rounded and One Snipped 29">
          <a:extLst>
            <a:ext uri="{FF2B5EF4-FFF2-40B4-BE49-F238E27FC236}">
              <a16:creationId xmlns:a16="http://schemas.microsoft.com/office/drawing/2014/main" xmlns="" id="{411C495F-CC15-4B04-BBD6-2C6A4D189BB8}"/>
            </a:ext>
          </a:extLst>
        </xdr:cNvPr>
        <xdr:cNvSpPr/>
      </xdr:nvSpPr>
      <xdr:spPr>
        <a:xfrm>
          <a:off x="358140" y="68580"/>
          <a:ext cx="1600200" cy="312420"/>
        </a:xfrm>
        <a:prstGeom prst="snipRoundRect">
          <a:avLst/>
        </a:prstGeom>
        <a:solidFill>
          <a:schemeClr val="accent1">
            <a:lumMod val="60000"/>
            <a:lumOff val="40000"/>
          </a:schemeClr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Un-insulated</a:t>
          </a:r>
          <a:r>
            <a:rPr lang="en-GB" sz="110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 valve</a:t>
          </a:r>
          <a:endParaRPr lang="en-GB" sz="11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518360</xdr:colOff>
      <xdr:row>24</xdr:row>
      <xdr:rowOff>60960</xdr:rowOff>
    </xdr:from>
    <xdr:to>
      <xdr:col>10</xdr:col>
      <xdr:colOff>466182</xdr:colOff>
      <xdr:row>26</xdr:row>
      <xdr:rowOff>45720</xdr:rowOff>
    </xdr:to>
    <xdr:sp macro="" textlink="">
      <xdr:nvSpPr>
        <xdr:cNvPr id="31" name="Flowchart: Terminator 30">
          <a:extLst>
            <a:ext uri="{FF2B5EF4-FFF2-40B4-BE49-F238E27FC236}">
              <a16:creationId xmlns:a16="http://schemas.microsoft.com/office/drawing/2014/main" xmlns="" id="{873011C8-3518-4011-B209-59A552072844}"/>
            </a:ext>
          </a:extLst>
        </xdr:cNvPr>
        <xdr:cNvSpPr/>
      </xdr:nvSpPr>
      <xdr:spPr>
        <a:xfrm>
          <a:off x="4282640" y="4419600"/>
          <a:ext cx="1753762" cy="365760"/>
        </a:xfrm>
        <a:prstGeom prst="flowChartTerminator">
          <a:avLst/>
        </a:prstGeom>
        <a:solidFill>
          <a:schemeClr val="accent1">
            <a:lumMod val="60000"/>
            <a:lumOff val="4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/>
            <a:t>Comments</a:t>
          </a:r>
          <a:r>
            <a:rPr lang="en-GB" sz="1100"/>
            <a:t> </a:t>
          </a:r>
        </a:p>
      </xdr:txBody>
    </xdr:sp>
    <xdr:clientData/>
  </xdr:twoCellAnchor>
  <xdr:twoCellAnchor>
    <xdr:from>
      <xdr:col>7</xdr:col>
      <xdr:colOff>532364</xdr:colOff>
      <xdr:row>21</xdr:row>
      <xdr:rowOff>76200</xdr:rowOff>
    </xdr:from>
    <xdr:to>
      <xdr:col>10</xdr:col>
      <xdr:colOff>487680</xdr:colOff>
      <xdr:row>23</xdr:row>
      <xdr:rowOff>76200</xdr:rowOff>
    </xdr:to>
    <xdr:sp macro="" textlink="">
      <xdr:nvSpPr>
        <xdr:cNvPr id="32" name="Flowchart: Terminator 31">
          <a:extLst>
            <a:ext uri="{FF2B5EF4-FFF2-40B4-BE49-F238E27FC236}">
              <a16:creationId xmlns:a16="http://schemas.microsoft.com/office/drawing/2014/main" xmlns="" id="{8AF6A2E8-9077-4DFD-BA44-2FDA44CAE6C7}"/>
            </a:ext>
          </a:extLst>
        </xdr:cNvPr>
        <xdr:cNvSpPr/>
      </xdr:nvSpPr>
      <xdr:spPr>
        <a:xfrm>
          <a:off x="4296644" y="3863340"/>
          <a:ext cx="1761256" cy="381000"/>
        </a:xfrm>
        <a:prstGeom prst="flowChartTerminator">
          <a:avLst/>
        </a:prstGeom>
        <a:solidFill>
          <a:schemeClr val="accent1">
            <a:lumMod val="60000"/>
            <a:lumOff val="4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/>
            <a:t>Space issue</a:t>
          </a:r>
          <a:endParaRPr lang="en-GB" sz="1100"/>
        </a:p>
      </xdr:txBody>
    </xdr:sp>
    <xdr:clientData/>
  </xdr:twoCellAnchor>
  <xdr:twoCellAnchor>
    <xdr:from>
      <xdr:col>7</xdr:col>
      <xdr:colOff>533400</xdr:colOff>
      <xdr:row>18</xdr:row>
      <xdr:rowOff>144780</xdr:rowOff>
    </xdr:from>
    <xdr:to>
      <xdr:col>10</xdr:col>
      <xdr:colOff>436253</xdr:colOff>
      <xdr:row>20</xdr:row>
      <xdr:rowOff>137160</xdr:rowOff>
    </xdr:to>
    <xdr:sp macro="" textlink="">
      <xdr:nvSpPr>
        <xdr:cNvPr id="33" name="Flowchart: Terminator 32">
          <a:extLst>
            <a:ext uri="{FF2B5EF4-FFF2-40B4-BE49-F238E27FC236}">
              <a16:creationId xmlns:a16="http://schemas.microsoft.com/office/drawing/2014/main" xmlns="" id="{55543F84-6456-4CAF-998C-06D9375DD59D}"/>
            </a:ext>
          </a:extLst>
        </xdr:cNvPr>
        <xdr:cNvSpPr/>
      </xdr:nvSpPr>
      <xdr:spPr>
        <a:xfrm>
          <a:off x="4297680" y="3360420"/>
          <a:ext cx="1708793" cy="373380"/>
        </a:xfrm>
        <a:prstGeom prst="flowChartTerminator">
          <a:avLst/>
        </a:prstGeom>
        <a:solidFill>
          <a:schemeClr val="accent1">
            <a:lumMod val="60000"/>
            <a:lumOff val="4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/>
            <a:t>Operational</a:t>
          </a:r>
          <a:r>
            <a:rPr lang="en-GB" sz="1600" baseline="0"/>
            <a:t> </a:t>
          </a:r>
          <a:r>
            <a:rPr lang="en-GB" sz="1600"/>
            <a:t> risk </a:t>
          </a:r>
          <a:r>
            <a:rPr lang="en-GB" sz="1100"/>
            <a:t> </a:t>
          </a:r>
        </a:p>
      </xdr:txBody>
    </xdr:sp>
    <xdr:clientData/>
  </xdr:twoCellAnchor>
  <xdr:twoCellAnchor>
    <xdr:from>
      <xdr:col>7</xdr:col>
      <xdr:colOff>563880</xdr:colOff>
      <xdr:row>16</xdr:row>
      <xdr:rowOff>7620</xdr:rowOff>
    </xdr:from>
    <xdr:to>
      <xdr:col>10</xdr:col>
      <xdr:colOff>466733</xdr:colOff>
      <xdr:row>18</xdr:row>
      <xdr:rowOff>0</xdr:rowOff>
    </xdr:to>
    <xdr:sp macro="" textlink="">
      <xdr:nvSpPr>
        <xdr:cNvPr id="34" name="Flowchart: Terminator 33">
          <a:extLst>
            <a:ext uri="{FF2B5EF4-FFF2-40B4-BE49-F238E27FC236}">
              <a16:creationId xmlns:a16="http://schemas.microsoft.com/office/drawing/2014/main" xmlns="" id="{DEDA2F82-D08F-445F-ACA7-0EEDF654635D}"/>
            </a:ext>
          </a:extLst>
        </xdr:cNvPr>
        <xdr:cNvSpPr/>
      </xdr:nvSpPr>
      <xdr:spPr>
        <a:xfrm>
          <a:off x="4328160" y="2842260"/>
          <a:ext cx="1708793" cy="373380"/>
        </a:xfrm>
        <a:prstGeom prst="flowChartTerminator">
          <a:avLst/>
        </a:prstGeom>
        <a:solidFill>
          <a:schemeClr val="accent1">
            <a:lumMod val="60000"/>
            <a:lumOff val="4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/>
            <a:t>Safety risk </a:t>
          </a:r>
          <a:r>
            <a:rPr lang="en-GB" sz="1100"/>
            <a:t> </a:t>
          </a:r>
        </a:p>
      </xdr:txBody>
    </xdr:sp>
    <xdr:clientData/>
  </xdr:twoCellAnchor>
  <xdr:twoCellAnchor>
    <xdr:from>
      <xdr:col>16</xdr:col>
      <xdr:colOff>312420</xdr:colOff>
      <xdr:row>0</xdr:row>
      <xdr:rowOff>99060</xdr:rowOff>
    </xdr:from>
    <xdr:to>
      <xdr:col>18</xdr:col>
      <xdr:colOff>7620</xdr:colOff>
      <xdr:row>1</xdr:row>
      <xdr:rowOff>121920</xdr:rowOff>
    </xdr:to>
    <xdr:sp macro="" textlink="">
      <xdr:nvSpPr>
        <xdr:cNvPr id="36" name="Flowchart: Terminator 35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xmlns="" id="{03B33595-EC96-48C8-AB04-C65C4E60C5D4}"/>
            </a:ext>
          </a:extLst>
        </xdr:cNvPr>
        <xdr:cNvSpPr/>
      </xdr:nvSpPr>
      <xdr:spPr>
        <a:xfrm>
          <a:off x="9685020" y="99060"/>
          <a:ext cx="685800" cy="213360"/>
        </a:xfrm>
        <a:prstGeom prst="flowChartTerminator">
          <a:avLst/>
        </a:prstGeom>
        <a:solidFill>
          <a:schemeClr val="accent6">
            <a:lumMod val="5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 b="1"/>
            <a:t>End </a:t>
          </a:r>
        </a:p>
      </xdr:txBody>
    </xdr:sp>
    <xdr:clientData/>
  </xdr:twoCellAnchor>
  <xdr:twoCellAnchor editAs="oneCell">
    <xdr:from>
      <xdr:col>13</xdr:col>
      <xdr:colOff>121924</xdr:colOff>
      <xdr:row>39</xdr:row>
      <xdr:rowOff>137161</xdr:rowOff>
    </xdr:from>
    <xdr:to>
      <xdr:col>13</xdr:col>
      <xdr:colOff>358143</xdr:colOff>
      <xdr:row>43</xdr:row>
      <xdr:rowOff>129541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xmlns="" id="{98AD5F70-0770-4065-8001-4D7255DE8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b="26107"/>
        <a:stretch/>
      </xdr:blipFill>
      <xdr:spPr>
        <a:xfrm rot="16200000">
          <a:off x="7292344" y="7520941"/>
          <a:ext cx="723900" cy="236219"/>
        </a:xfrm>
        <a:prstGeom prst="rect">
          <a:avLst/>
        </a:prstGeom>
      </xdr:spPr>
    </xdr:pic>
    <xdr:clientData/>
  </xdr:twoCellAnchor>
  <xdr:twoCellAnchor editAs="oneCell">
    <xdr:from>
      <xdr:col>14</xdr:col>
      <xdr:colOff>219714</xdr:colOff>
      <xdr:row>40</xdr:row>
      <xdr:rowOff>115573</xdr:rowOff>
    </xdr:from>
    <xdr:to>
      <xdr:col>14</xdr:col>
      <xdr:colOff>394973</xdr:colOff>
      <xdr:row>43</xdr:row>
      <xdr:rowOff>151129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xmlns="" id="{393694C1-BA88-4DDB-BB61-D3946F06A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 rot="16200000">
          <a:off x="8031486" y="7642861"/>
          <a:ext cx="584196" cy="175259"/>
        </a:xfrm>
        <a:prstGeom prst="rect">
          <a:avLst/>
        </a:prstGeom>
      </xdr:spPr>
    </xdr:pic>
    <xdr:clientData/>
  </xdr:twoCellAnchor>
  <xdr:twoCellAnchor editAs="oneCell">
    <xdr:from>
      <xdr:col>16</xdr:col>
      <xdr:colOff>109431</xdr:colOff>
      <xdr:row>39</xdr:row>
      <xdr:rowOff>149652</xdr:rowOff>
    </xdr:from>
    <xdr:to>
      <xdr:col>16</xdr:col>
      <xdr:colOff>505670</xdr:colOff>
      <xdr:row>43</xdr:row>
      <xdr:rowOff>213360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xmlns="" id="{CA2212C7-4927-4D53-AF2C-5F50F2C2A7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4333" t="38094" r="77667"/>
        <a:stretch/>
      </xdr:blipFill>
      <xdr:spPr>
        <a:xfrm rot="16200000">
          <a:off x="9282537" y="7489086"/>
          <a:ext cx="795228" cy="396239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</xdr:colOff>
      <xdr:row>54</xdr:row>
      <xdr:rowOff>152400</xdr:rowOff>
    </xdr:from>
    <xdr:to>
      <xdr:col>12</xdr:col>
      <xdr:colOff>540174</xdr:colOff>
      <xdr:row>56</xdr:row>
      <xdr:rowOff>167640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xmlns="" id="{E566D8F4-3D35-44C8-BD82-9550B81C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600700" y="10645140"/>
          <a:ext cx="1652694" cy="396240"/>
        </a:xfrm>
        <a:prstGeom prst="rect">
          <a:avLst/>
        </a:prstGeom>
      </xdr:spPr>
    </xdr:pic>
    <xdr:clientData/>
  </xdr:twoCellAnchor>
  <xdr:twoCellAnchor>
    <xdr:from>
      <xdr:col>14</xdr:col>
      <xdr:colOff>373380</xdr:colOff>
      <xdr:row>47</xdr:row>
      <xdr:rowOff>60960</xdr:rowOff>
    </xdr:from>
    <xdr:to>
      <xdr:col>20</xdr:col>
      <xdr:colOff>297180</xdr:colOff>
      <xdr:row>49</xdr:row>
      <xdr:rowOff>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xmlns="" id="{C92C991E-7F5E-4D0E-AE41-146CFAFD2C69}"/>
            </a:ext>
          </a:extLst>
        </xdr:cNvPr>
        <xdr:cNvCxnSpPr/>
      </xdr:nvCxnSpPr>
      <xdr:spPr>
        <a:xfrm flipH="1" flipV="1">
          <a:off x="8389620" y="9090660"/>
          <a:ext cx="3329940" cy="411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83820</xdr:colOff>
      <xdr:row>53</xdr:row>
      <xdr:rowOff>114300</xdr:rowOff>
    </xdr:from>
    <xdr:to>
      <xdr:col>1</xdr:col>
      <xdr:colOff>281940</xdr:colOff>
      <xdr:row>55</xdr:row>
      <xdr:rowOff>167640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xmlns="" id="{F66E2547-8043-4523-8025-8976DB9687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11597" r="32278"/>
        <a:stretch/>
      </xdr:blipFill>
      <xdr:spPr>
        <a:xfrm>
          <a:off x="83820" y="10416540"/>
          <a:ext cx="556260" cy="434340"/>
        </a:xfrm>
        <a:prstGeom prst="rect">
          <a:avLst/>
        </a:prstGeom>
      </xdr:spPr>
    </xdr:pic>
    <xdr:clientData/>
  </xdr:twoCellAnchor>
  <xdr:twoCellAnchor>
    <xdr:from>
      <xdr:col>18</xdr:col>
      <xdr:colOff>30480</xdr:colOff>
      <xdr:row>71</xdr:row>
      <xdr:rowOff>30480</xdr:rowOff>
    </xdr:from>
    <xdr:to>
      <xdr:col>20</xdr:col>
      <xdr:colOff>45720</xdr:colOff>
      <xdr:row>72</xdr:row>
      <xdr:rowOff>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xmlns="" id="{C7F902D2-B005-4924-A3B8-599553AF52F1}"/>
            </a:ext>
          </a:extLst>
        </xdr:cNvPr>
        <xdr:cNvCxnSpPr/>
      </xdr:nvCxnSpPr>
      <xdr:spPr>
        <a:xfrm flipH="1" flipV="1">
          <a:off x="10393680" y="13723620"/>
          <a:ext cx="1074420" cy="11353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396240</xdr:colOff>
      <xdr:row>11</xdr:row>
      <xdr:rowOff>167641</xdr:rowOff>
    </xdr:from>
    <xdr:to>
      <xdr:col>10</xdr:col>
      <xdr:colOff>360284</xdr:colOff>
      <xdr:row>14</xdr:row>
      <xdr:rowOff>53341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xmlns="" id="{4FD7753D-4371-4048-9CC3-33F423E7BC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t="15000" r="13442" b="8889"/>
        <a:stretch/>
      </xdr:blipFill>
      <xdr:spPr>
        <a:xfrm>
          <a:off x="5364480" y="2049781"/>
          <a:ext cx="566024" cy="457200"/>
        </a:xfrm>
        <a:prstGeom prst="rect">
          <a:avLst/>
        </a:prstGeom>
        <a:effectLst>
          <a:softEdge rad="12700"/>
        </a:effectLst>
      </xdr:spPr>
    </xdr:pic>
    <xdr:clientData/>
  </xdr:twoCellAnchor>
  <xdr:twoCellAnchor editAs="oneCell">
    <xdr:from>
      <xdr:col>23</xdr:col>
      <xdr:colOff>198120</xdr:colOff>
      <xdr:row>10</xdr:row>
      <xdr:rowOff>121919</xdr:rowOff>
    </xdr:from>
    <xdr:to>
      <xdr:col>23</xdr:col>
      <xdr:colOff>500001</xdr:colOff>
      <xdr:row>12</xdr:row>
      <xdr:rowOff>83820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xmlns="" id="{D25812EE-47B8-4EBC-B12F-9F3ABF9CB2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 cstate="print"/>
        <a:srcRect t="15000" r="13442" b="8889"/>
        <a:stretch/>
      </xdr:blipFill>
      <xdr:spPr>
        <a:xfrm>
          <a:off x="13449300" y="1775459"/>
          <a:ext cx="301881" cy="342901"/>
        </a:xfrm>
        <a:prstGeom prst="rect">
          <a:avLst/>
        </a:prstGeom>
        <a:effectLst>
          <a:softEdge rad="12700"/>
        </a:effectLst>
      </xdr:spPr>
    </xdr:pic>
    <xdr:clientData/>
  </xdr:twoCellAnchor>
  <xdr:twoCellAnchor>
    <xdr:from>
      <xdr:col>14</xdr:col>
      <xdr:colOff>739140</xdr:colOff>
      <xdr:row>18</xdr:row>
      <xdr:rowOff>60960</xdr:rowOff>
    </xdr:from>
    <xdr:to>
      <xdr:col>15</xdr:col>
      <xdr:colOff>121920</xdr:colOff>
      <xdr:row>18</xdr:row>
      <xdr:rowOff>60960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xmlns="" id="{A1D497EF-3320-48D7-BF7A-F06529447354}"/>
            </a:ext>
          </a:extLst>
        </xdr:cNvPr>
        <xdr:cNvCxnSpPr/>
      </xdr:nvCxnSpPr>
      <xdr:spPr>
        <a:xfrm>
          <a:off x="8755380" y="3223260"/>
          <a:ext cx="1371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19</xdr:row>
      <xdr:rowOff>137160</xdr:rowOff>
    </xdr:from>
    <xdr:to>
      <xdr:col>15</xdr:col>
      <xdr:colOff>137160</xdr:colOff>
      <xdr:row>19</xdr:row>
      <xdr:rowOff>137160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xmlns="" id="{86689C89-B9C1-47CB-BAD2-14222B522FC3}"/>
            </a:ext>
          </a:extLst>
        </xdr:cNvPr>
        <xdr:cNvCxnSpPr/>
      </xdr:nvCxnSpPr>
      <xdr:spPr>
        <a:xfrm>
          <a:off x="8770620" y="3489960"/>
          <a:ext cx="1371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678180</xdr:colOff>
      <xdr:row>9</xdr:row>
      <xdr:rowOff>68580</xdr:rowOff>
    </xdr:from>
    <xdr:to>
      <xdr:col>16</xdr:col>
      <xdr:colOff>472440</xdr:colOff>
      <xdr:row>11</xdr:row>
      <xdr:rowOff>53340</xdr:rowOff>
    </xdr:to>
    <xdr:sp macro="" textlink="">
      <xdr:nvSpPr>
        <xdr:cNvPr id="37" name="Flowchart: Terminator 36">
          <a:extLst>
            <a:ext uri="{FF2B5EF4-FFF2-40B4-BE49-F238E27FC236}">
              <a16:creationId xmlns:a16="http://schemas.microsoft.com/office/drawing/2014/main" xmlns="" id="{AC43B005-71FA-4FE4-8F80-E28B0838D9B2}"/>
            </a:ext>
          </a:extLst>
        </xdr:cNvPr>
        <xdr:cNvSpPr/>
      </xdr:nvSpPr>
      <xdr:spPr>
        <a:xfrm>
          <a:off x="8694420" y="1531620"/>
          <a:ext cx="1501140" cy="365760"/>
        </a:xfrm>
        <a:prstGeom prst="flowChartTerminator">
          <a:avLst/>
        </a:prstGeom>
        <a:solidFill>
          <a:schemeClr val="accent6"/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/>
            <a:t>TIPCHECK</a:t>
          </a:r>
          <a:r>
            <a:rPr lang="en-GB" sz="1100"/>
            <a:t> </a:t>
          </a:r>
        </a:p>
      </xdr:txBody>
    </xdr:sp>
    <xdr:clientData/>
  </xdr:twoCellAnchor>
  <xdr:oneCellAnchor>
    <xdr:from>
      <xdr:col>10</xdr:col>
      <xdr:colOff>30480</xdr:colOff>
      <xdr:row>127</xdr:row>
      <xdr:rowOff>152400</xdr:rowOff>
    </xdr:from>
    <xdr:ext cx="1652694" cy="396240"/>
    <xdr:pic>
      <xdr:nvPicPr>
        <xdr:cNvPr id="44" name="Picture 43">
          <a:extLst>
            <a:ext uri="{FF2B5EF4-FFF2-40B4-BE49-F238E27FC236}">
              <a16:creationId xmlns:a16="http://schemas.microsoft.com/office/drawing/2014/main" xmlns="" id="{D7B721CD-963E-4422-8C9D-5D1773C4F3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600700" y="10843260"/>
          <a:ext cx="1652694" cy="396240"/>
        </a:xfrm>
        <a:prstGeom prst="rect">
          <a:avLst/>
        </a:prstGeom>
      </xdr:spPr>
    </xdr:pic>
    <xdr:clientData/>
  </xdr:oneCellAnchor>
  <xdr:twoCellAnchor>
    <xdr:from>
      <xdr:col>14</xdr:col>
      <xdr:colOff>373380</xdr:colOff>
      <xdr:row>120</xdr:row>
      <xdr:rowOff>60960</xdr:rowOff>
    </xdr:from>
    <xdr:to>
      <xdr:col>20</xdr:col>
      <xdr:colOff>297180</xdr:colOff>
      <xdr:row>122</xdr:row>
      <xdr:rowOff>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xmlns="" id="{4AF2E0A0-F4C2-4479-A07A-C5031A41B43B}"/>
            </a:ext>
          </a:extLst>
        </xdr:cNvPr>
        <xdr:cNvCxnSpPr/>
      </xdr:nvCxnSpPr>
      <xdr:spPr>
        <a:xfrm flipH="1" flipV="1">
          <a:off x="8458200" y="9288780"/>
          <a:ext cx="3680460" cy="411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83820</xdr:colOff>
      <xdr:row>126</xdr:row>
      <xdr:rowOff>114300</xdr:rowOff>
    </xdr:from>
    <xdr:ext cx="556260" cy="434340"/>
    <xdr:pic>
      <xdr:nvPicPr>
        <xdr:cNvPr id="51" name="Picture 50">
          <a:extLst>
            <a:ext uri="{FF2B5EF4-FFF2-40B4-BE49-F238E27FC236}">
              <a16:creationId xmlns:a16="http://schemas.microsoft.com/office/drawing/2014/main" xmlns="" id="{E017AA66-EE30-498D-98A6-8E589AC54F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11597" r="32278"/>
        <a:stretch/>
      </xdr:blipFill>
      <xdr:spPr>
        <a:xfrm>
          <a:off x="83820" y="10614660"/>
          <a:ext cx="556260" cy="434340"/>
        </a:xfrm>
        <a:prstGeom prst="rect">
          <a:avLst/>
        </a:prstGeom>
      </xdr:spPr>
    </xdr:pic>
    <xdr:clientData/>
  </xdr:oneCellAnchor>
  <xdr:oneCellAnchor>
    <xdr:from>
      <xdr:col>10</xdr:col>
      <xdr:colOff>30480</xdr:colOff>
      <xdr:row>127</xdr:row>
      <xdr:rowOff>152400</xdr:rowOff>
    </xdr:from>
    <xdr:ext cx="1652694" cy="396240"/>
    <xdr:pic>
      <xdr:nvPicPr>
        <xdr:cNvPr id="52" name="Picture 51">
          <a:extLst>
            <a:ext uri="{FF2B5EF4-FFF2-40B4-BE49-F238E27FC236}">
              <a16:creationId xmlns:a16="http://schemas.microsoft.com/office/drawing/2014/main" xmlns="" id="{2404E206-339B-4C70-8A56-267A007F8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600700" y="10843260"/>
          <a:ext cx="1652694" cy="396240"/>
        </a:xfrm>
        <a:prstGeom prst="rect">
          <a:avLst/>
        </a:prstGeom>
      </xdr:spPr>
    </xdr:pic>
    <xdr:clientData/>
  </xdr:oneCellAnchor>
  <xdr:twoCellAnchor>
    <xdr:from>
      <xdr:col>14</xdr:col>
      <xdr:colOff>373380</xdr:colOff>
      <xdr:row>120</xdr:row>
      <xdr:rowOff>60960</xdr:rowOff>
    </xdr:from>
    <xdr:to>
      <xdr:col>20</xdr:col>
      <xdr:colOff>297180</xdr:colOff>
      <xdr:row>122</xdr:row>
      <xdr:rowOff>0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xmlns="" id="{0BC39613-04E1-4DD1-A49A-A81A2456159F}"/>
            </a:ext>
          </a:extLst>
        </xdr:cNvPr>
        <xdr:cNvCxnSpPr/>
      </xdr:nvCxnSpPr>
      <xdr:spPr>
        <a:xfrm flipH="1" flipV="1">
          <a:off x="8458200" y="9288780"/>
          <a:ext cx="3680460" cy="411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83820</xdr:colOff>
      <xdr:row>126</xdr:row>
      <xdr:rowOff>114300</xdr:rowOff>
    </xdr:from>
    <xdr:ext cx="556260" cy="434340"/>
    <xdr:pic>
      <xdr:nvPicPr>
        <xdr:cNvPr id="54" name="Picture 53">
          <a:extLst>
            <a:ext uri="{FF2B5EF4-FFF2-40B4-BE49-F238E27FC236}">
              <a16:creationId xmlns:a16="http://schemas.microsoft.com/office/drawing/2014/main" xmlns="" id="{D399A640-ABD2-47D2-8DC9-9DA1D88541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11597" r="32278"/>
        <a:stretch/>
      </xdr:blipFill>
      <xdr:spPr>
        <a:xfrm>
          <a:off x="83820" y="10614660"/>
          <a:ext cx="556260" cy="434340"/>
        </a:xfrm>
        <a:prstGeom prst="rect">
          <a:avLst/>
        </a:prstGeom>
      </xdr:spPr>
    </xdr:pic>
    <xdr:clientData/>
  </xdr:oneCellAnchor>
  <xdr:oneCellAnchor>
    <xdr:from>
      <xdr:col>10</xdr:col>
      <xdr:colOff>30480</xdr:colOff>
      <xdr:row>127</xdr:row>
      <xdr:rowOff>152400</xdr:rowOff>
    </xdr:from>
    <xdr:ext cx="1652694" cy="381000"/>
    <xdr:pic>
      <xdr:nvPicPr>
        <xdr:cNvPr id="55" name="Picture 54">
          <a:extLst>
            <a:ext uri="{FF2B5EF4-FFF2-40B4-BE49-F238E27FC236}">
              <a16:creationId xmlns:a16="http://schemas.microsoft.com/office/drawing/2014/main" xmlns="" id="{48A5863D-5617-4AC0-86FB-84B406702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600700" y="25138380"/>
          <a:ext cx="1652694" cy="381000"/>
        </a:xfrm>
        <a:prstGeom prst="rect">
          <a:avLst/>
        </a:prstGeom>
      </xdr:spPr>
    </xdr:pic>
    <xdr:clientData/>
  </xdr:oneCellAnchor>
  <xdr:twoCellAnchor>
    <xdr:from>
      <xdr:col>14</xdr:col>
      <xdr:colOff>373380</xdr:colOff>
      <xdr:row>120</xdr:row>
      <xdr:rowOff>60960</xdr:rowOff>
    </xdr:from>
    <xdr:to>
      <xdr:col>20</xdr:col>
      <xdr:colOff>297180</xdr:colOff>
      <xdr:row>122</xdr:row>
      <xdr:rowOff>0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xmlns="" id="{AABB952D-0FC2-400C-915A-58101C4E2AA6}"/>
            </a:ext>
          </a:extLst>
        </xdr:cNvPr>
        <xdr:cNvCxnSpPr/>
      </xdr:nvCxnSpPr>
      <xdr:spPr>
        <a:xfrm flipH="1" flipV="1">
          <a:off x="8488680" y="23561040"/>
          <a:ext cx="3573780" cy="396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83820</xdr:colOff>
      <xdr:row>126</xdr:row>
      <xdr:rowOff>114300</xdr:rowOff>
    </xdr:from>
    <xdr:ext cx="556260" cy="419100"/>
    <xdr:pic>
      <xdr:nvPicPr>
        <xdr:cNvPr id="57" name="Picture 56">
          <a:extLst>
            <a:ext uri="{FF2B5EF4-FFF2-40B4-BE49-F238E27FC236}">
              <a16:creationId xmlns:a16="http://schemas.microsoft.com/office/drawing/2014/main" xmlns="" id="{2BD4CAFC-D7A2-4E8C-8DB3-A606B375B0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11597" r="32278"/>
        <a:stretch/>
      </xdr:blipFill>
      <xdr:spPr>
        <a:xfrm>
          <a:off x="83820" y="24894540"/>
          <a:ext cx="556260" cy="419100"/>
        </a:xfrm>
        <a:prstGeom prst="rect">
          <a:avLst/>
        </a:prstGeom>
      </xdr:spPr>
    </xdr:pic>
    <xdr:clientData/>
  </xdr:oneCellAnchor>
  <xdr:twoCellAnchor>
    <xdr:from>
      <xdr:col>10</xdr:col>
      <xdr:colOff>396240</xdr:colOff>
      <xdr:row>10</xdr:row>
      <xdr:rowOff>144780</xdr:rowOff>
    </xdr:from>
    <xdr:to>
      <xdr:col>19</xdr:col>
      <xdr:colOff>381000</xdr:colOff>
      <xdr:row>12</xdr:row>
      <xdr:rowOff>45720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xmlns="" id="{2B6CE848-3814-441F-A9B3-BE2AAE443143}"/>
            </a:ext>
          </a:extLst>
        </xdr:cNvPr>
        <xdr:cNvCxnSpPr/>
      </xdr:nvCxnSpPr>
      <xdr:spPr>
        <a:xfrm flipV="1">
          <a:off x="6080760" y="1798320"/>
          <a:ext cx="5646420" cy="281940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350520</xdr:colOff>
      <xdr:row>6</xdr:row>
      <xdr:rowOff>68581</xdr:rowOff>
    </xdr:from>
    <xdr:to>
      <xdr:col>2</xdr:col>
      <xdr:colOff>388620</xdr:colOff>
      <xdr:row>8</xdr:row>
      <xdr:rowOff>175261</xdr:rowOff>
    </xdr:to>
    <xdr:pic>
      <xdr:nvPicPr>
        <xdr:cNvPr id="5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8BCDE2DB-A027-42F0-A645-B86ACEB2AE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/>
        <a:srcRect t="4629"/>
        <a:stretch/>
      </xdr:blipFill>
      <xdr:spPr>
        <a:xfrm>
          <a:off x="708660" y="998221"/>
          <a:ext cx="396240" cy="47244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68580</xdr:rowOff>
    </xdr:from>
    <xdr:to>
      <xdr:col>3</xdr:col>
      <xdr:colOff>350520</xdr:colOff>
      <xdr:row>2</xdr:row>
      <xdr:rowOff>0</xdr:rowOff>
    </xdr:to>
    <xdr:sp macro="" textlink="">
      <xdr:nvSpPr>
        <xdr:cNvPr id="6" name="Rectangle: Top Corners One Rounded and One Snipped 5">
          <a:extLst>
            <a:ext uri="{FF2B5EF4-FFF2-40B4-BE49-F238E27FC236}">
              <a16:creationId xmlns:a16="http://schemas.microsoft.com/office/drawing/2014/main" xmlns="" id="{FFD9FBB0-35F5-4516-BDDE-647A1C2B227A}"/>
            </a:ext>
          </a:extLst>
        </xdr:cNvPr>
        <xdr:cNvSpPr/>
      </xdr:nvSpPr>
      <xdr:spPr>
        <a:xfrm>
          <a:off x="358140" y="68580"/>
          <a:ext cx="1600200" cy="312420"/>
        </a:xfrm>
        <a:prstGeom prst="snipRoundRect">
          <a:avLst/>
        </a:prstGeom>
        <a:solidFill>
          <a:schemeClr val="accent1">
            <a:lumMod val="60000"/>
            <a:lumOff val="40000"/>
          </a:schemeClr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Uninsulated</a:t>
          </a:r>
          <a:r>
            <a:rPr lang="en-GB" sz="110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 pipe</a:t>
          </a:r>
          <a:endParaRPr lang="en-GB" sz="11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518360</xdr:colOff>
      <xdr:row>24</xdr:row>
      <xdr:rowOff>60960</xdr:rowOff>
    </xdr:from>
    <xdr:to>
      <xdr:col>10</xdr:col>
      <xdr:colOff>466182</xdr:colOff>
      <xdr:row>26</xdr:row>
      <xdr:rowOff>45720</xdr:rowOff>
    </xdr:to>
    <xdr:sp macro="" textlink="">
      <xdr:nvSpPr>
        <xdr:cNvPr id="7" name="Flowchart: Terminator 6">
          <a:extLst>
            <a:ext uri="{FF2B5EF4-FFF2-40B4-BE49-F238E27FC236}">
              <a16:creationId xmlns:a16="http://schemas.microsoft.com/office/drawing/2014/main" xmlns="" id="{E7BAA23F-6FD7-4BDB-AAC9-828411B55094}"/>
            </a:ext>
          </a:extLst>
        </xdr:cNvPr>
        <xdr:cNvSpPr/>
      </xdr:nvSpPr>
      <xdr:spPr>
        <a:xfrm>
          <a:off x="4282640" y="4419600"/>
          <a:ext cx="1753762" cy="365760"/>
        </a:xfrm>
        <a:prstGeom prst="flowChartTerminator">
          <a:avLst/>
        </a:prstGeom>
        <a:solidFill>
          <a:schemeClr val="accent1">
            <a:lumMod val="60000"/>
            <a:lumOff val="4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/>
            <a:t>Comments</a:t>
          </a:r>
          <a:r>
            <a:rPr lang="en-GB" sz="1100"/>
            <a:t> </a:t>
          </a:r>
        </a:p>
      </xdr:txBody>
    </xdr:sp>
    <xdr:clientData/>
  </xdr:twoCellAnchor>
  <xdr:twoCellAnchor>
    <xdr:from>
      <xdr:col>7</xdr:col>
      <xdr:colOff>532364</xdr:colOff>
      <xdr:row>21</xdr:row>
      <xdr:rowOff>76200</xdr:rowOff>
    </xdr:from>
    <xdr:to>
      <xdr:col>10</xdr:col>
      <xdr:colOff>487680</xdr:colOff>
      <xdr:row>23</xdr:row>
      <xdr:rowOff>76200</xdr:rowOff>
    </xdr:to>
    <xdr:sp macro="" textlink="">
      <xdr:nvSpPr>
        <xdr:cNvPr id="8" name="Flowchart: Terminator 7">
          <a:extLst>
            <a:ext uri="{FF2B5EF4-FFF2-40B4-BE49-F238E27FC236}">
              <a16:creationId xmlns:a16="http://schemas.microsoft.com/office/drawing/2014/main" xmlns="" id="{4521DE41-8738-40E8-9A13-D68D799E3109}"/>
            </a:ext>
          </a:extLst>
        </xdr:cNvPr>
        <xdr:cNvSpPr/>
      </xdr:nvSpPr>
      <xdr:spPr>
        <a:xfrm>
          <a:off x="4296644" y="3863340"/>
          <a:ext cx="1761256" cy="381000"/>
        </a:xfrm>
        <a:prstGeom prst="flowChartTerminator">
          <a:avLst/>
        </a:prstGeom>
        <a:solidFill>
          <a:schemeClr val="accent1">
            <a:lumMod val="60000"/>
            <a:lumOff val="4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/>
            <a:t>Space issue</a:t>
          </a:r>
          <a:endParaRPr lang="en-GB" sz="1100"/>
        </a:p>
      </xdr:txBody>
    </xdr:sp>
    <xdr:clientData/>
  </xdr:twoCellAnchor>
  <xdr:twoCellAnchor>
    <xdr:from>
      <xdr:col>7</xdr:col>
      <xdr:colOff>533400</xdr:colOff>
      <xdr:row>18</xdr:row>
      <xdr:rowOff>144780</xdr:rowOff>
    </xdr:from>
    <xdr:to>
      <xdr:col>10</xdr:col>
      <xdr:colOff>436253</xdr:colOff>
      <xdr:row>20</xdr:row>
      <xdr:rowOff>137160</xdr:rowOff>
    </xdr:to>
    <xdr:sp macro="" textlink="">
      <xdr:nvSpPr>
        <xdr:cNvPr id="9" name="Flowchart: Terminator 8">
          <a:extLst>
            <a:ext uri="{FF2B5EF4-FFF2-40B4-BE49-F238E27FC236}">
              <a16:creationId xmlns:a16="http://schemas.microsoft.com/office/drawing/2014/main" xmlns="" id="{5A6FC2EA-1DF4-4C64-9058-42B2EC6FBA80}"/>
            </a:ext>
          </a:extLst>
        </xdr:cNvPr>
        <xdr:cNvSpPr/>
      </xdr:nvSpPr>
      <xdr:spPr>
        <a:xfrm>
          <a:off x="4297680" y="3360420"/>
          <a:ext cx="1708793" cy="373380"/>
        </a:xfrm>
        <a:prstGeom prst="flowChartTerminator">
          <a:avLst/>
        </a:prstGeom>
        <a:solidFill>
          <a:schemeClr val="accent1">
            <a:lumMod val="60000"/>
            <a:lumOff val="4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/>
            <a:t>Operational</a:t>
          </a:r>
          <a:r>
            <a:rPr lang="en-GB" sz="1600" baseline="0"/>
            <a:t> </a:t>
          </a:r>
          <a:r>
            <a:rPr lang="en-GB" sz="1600"/>
            <a:t> risk </a:t>
          </a:r>
          <a:r>
            <a:rPr lang="en-GB" sz="1100"/>
            <a:t> </a:t>
          </a:r>
        </a:p>
      </xdr:txBody>
    </xdr:sp>
    <xdr:clientData/>
  </xdr:twoCellAnchor>
  <xdr:twoCellAnchor>
    <xdr:from>
      <xdr:col>7</xdr:col>
      <xdr:colOff>563880</xdr:colOff>
      <xdr:row>16</xdr:row>
      <xdr:rowOff>7620</xdr:rowOff>
    </xdr:from>
    <xdr:to>
      <xdr:col>10</xdr:col>
      <xdr:colOff>466733</xdr:colOff>
      <xdr:row>18</xdr:row>
      <xdr:rowOff>0</xdr:rowOff>
    </xdr:to>
    <xdr:sp macro="" textlink="">
      <xdr:nvSpPr>
        <xdr:cNvPr id="10" name="Flowchart: Terminator 9">
          <a:extLst>
            <a:ext uri="{FF2B5EF4-FFF2-40B4-BE49-F238E27FC236}">
              <a16:creationId xmlns:a16="http://schemas.microsoft.com/office/drawing/2014/main" xmlns="" id="{8DEF7DF2-3428-40AD-811A-B579B59E0959}"/>
            </a:ext>
          </a:extLst>
        </xdr:cNvPr>
        <xdr:cNvSpPr/>
      </xdr:nvSpPr>
      <xdr:spPr>
        <a:xfrm>
          <a:off x="4328160" y="2842260"/>
          <a:ext cx="1708793" cy="373380"/>
        </a:xfrm>
        <a:prstGeom prst="flowChartTerminator">
          <a:avLst/>
        </a:prstGeom>
        <a:solidFill>
          <a:schemeClr val="accent1">
            <a:lumMod val="60000"/>
            <a:lumOff val="4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/>
            <a:t>Safety risk </a:t>
          </a:r>
          <a:r>
            <a:rPr lang="en-GB" sz="1100"/>
            <a:t> </a:t>
          </a:r>
        </a:p>
      </xdr:txBody>
    </xdr:sp>
    <xdr:clientData/>
  </xdr:twoCellAnchor>
  <xdr:twoCellAnchor editAs="oneCell">
    <xdr:from>
      <xdr:col>2</xdr:col>
      <xdr:colOff>556260</xdr:colOff>
      <xdr:row>6</xdr:row>
      <xdr:rowOff>53340</xdr:rowOff>
    </xdr:from>
    <xdr:to>
      <xdr:col>3</xdr:col>
      <xdr:colOff>106680</xdr:colOff>
      <xdr:row>8</xdr:row>
      <xdr:rowOff>175260</xdr:rowOff>
    </xdr:to>
    <xdr:pic>
      <xdr:nvPicPr>
        <xdr:cNvPr id="11" name="Graphic 10" descr="Open Folder">
          <a:extLst>
            <a:ext uri="{FF2B5EF4-FFF2-40B4-BE49-F238E27FC236}">
              <a16:creationId xmlns:a16="http://schemas.microsoft.com/office/drawing/2014/main" xmlns="" id="{C3D65142-656A-4DDC-A7E8-086AD26A2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1272540" y="982980"/>
          <a:ext cx="441960" cy="487680"/>
        </a:xfrm>
        <a:prstGeom prst="rect">
          <a:avLst/>
        </a:prstGeom>
      </xdr:spPr>
    </xdr:pic>
    <xdr:clientData/>
  </xdr:twoCellAnchor>
  <xdr:twoCellAnchor>
    <xdr:from>
      <xdr:col>16</xdr:col>
      <xdr:colOff>312420</xdr:colOff>
      <xdr:row>0</xdr:row>
      <xdr:rowOff>99060</xdr:rowOff>
    </xdr:from>
    <xdr:to>
      <xdr:col>18</xdr:col>
      <xdr:colOff>7620</xdr:colOff>
      <xdr:row>1</xdr:row>
      <xdr:rowOff>121920</xdr:rowOff>
    </xdr:to>
    <xdr:sp macro="" textlink="">
      <xdr:nvSpPr>
        <xdr:cNvPr id="12" name="Flowchart: Terminator 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7DFE5021-4BD0-4C5E-9B6C-B65925F1946E}"/>
            </a:ext>
          </a:extLst>
        </xdr:cNvPr>
        <xdr:cNvSpPr/>
      </xdr:nvSpPr>
      <xdr:spPr>
        <a:xfrm>
          <a:off x="9685020" y="99060"/>
          <a:ext cx="685800" cy="213360"/>
        </a:xfrm>
        <a:prstGeom prst="flowChartTerminator">
          <a:avLst/>
        </a:prstGeom>
        <a:solidFill>
          <a:schemeClr val="accent6">
            <a:lumMod val="5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 b="1"/>
            <a:t>End </a:t>
          </a:r>
        </a:p>
      </xdr:txBody>
    </xdr:sp>
    <xdr:clientData/>
  </xdr:twoCellAnchor>
  <xdr:twoCellAnchor editAs="oneCell">
    <xdr:from>
      <xdr:col>7</xdr:col>
      <xdr:colOff>379735</xdr:colOff>
      <xdr:row>32</xdr:row>
      <xdr:rowOff>99060</xdr:rowOff>
    </xdr:from>
    <xdr:to>
      <xdr:col>7</xdr:col>
      <xdr:colOff>554994</xdr:colOff>
      <xdr:row>37</xdr:row>
      <xdr:rowOff>835656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0E79A440-0FE6-42FE-98EE-1D9C0F7139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6200000">
          <a:off x="3802387" y="6826248"/>
          <a:ext cx="1650996" cy="175259"/>
        </a:xfrm>
        <a:prstGeom prst="rect">
          <a:avLst/>
        </a:prstGeom>
      </xdr:spPr>
    </xdr:pic>
    <xdr:clientData/>
  </xdr:twoCellAnchor>
  <xdr:twoCellAnchor>
    <xdr:from>
      <xdr:col>14</xdr:col>
      <xdr:colOff>373380</xdr:colOff>
      <xdr:row>41</xdr:row>
      <xdr:rowOff>60960</xdr:rowOff>
    </xdr:from>
    <xdr:to>
      <xdr:col>20</xdr:col>
      <xdr:colOff>297180</xdr:colOff>
      <xdr:row>43</xdr:row>
      <xdr:rowOff>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xmlns="" id="{548DA1F7-9E97-4037-AD79-89190282FA83}"/>
            </a:ext>
          </a:extLst>
        </xdr:cNvPr>
        <xdr:cNvCxnSpPr/>
      </xdr:nvCxnSpPr>
      <xdr:spPr>
        <a:xfrm flipH="1" flipV="1">
          <a:off x="8389620" y="9090660"/>
          <a:ext cx="3329940" cy="411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30480</xdr:colOff>
      <xdr:row>65</xdr:row>
      <xdr:rowOff>30480</xdr:rowOff>
    </xdr:from>
    <xdr:to>
      <xdr:col>20</xdr:col>
      <xdr:colOff>45720</xdr:colOff>
      <xdr:row>71</xdr:row>
      <xdr:rowOff>68580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xmlns="" id="{57FA4ECA-3074-4E18-918F-D821FF032A73}"/>
            </a:ext>
          </a:extLst>
        </xdr:cNvPr>
        <xdr:cNvCxnSpPr/>
      </xdr:nvCxnSpPr>
      <xdr:spPr>
        <a:xfrm flipH="1" flipV="1">
          <a:off x="10393680" y="13723620"/>
          <a:ext cx="1074420" cy="11353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458728</xdr:colOff>
      <xdr:row>28</xdr:row>
      <xdr:rowOff>23453</xdr:rowOff>
    </xdr:from>
    <xdr:to>
      <xdr:col>26</xdr:col>
      <xdr:colOff>198110</xdr:colOff>
      <xdr:row>33</xdr:row>
      <xdr:rowOff>121144</xdr:rowOff>
    </xdr:to>
    <xdr:sp macro="" textlink="">
      <xdr:nvSpPr>
        <xdr:cNvPr id="24" name="TextBox 22">
          <a:extLst>
            <a:ext uri="{FF2B5EF4-FFF2-40B4-BE49-F238E27FC236}">
              <a16:creationId xmlns:a16="http://schemas.microsoft.com/office/drawing/2014/main" xmlns="" id="{648124F9-E975-43BF-B4A0-74CE9FBA91B2}"/>
            </a:ext>
          </a:extLst>
        </xdr:cNvPr>
        <xdr:cNvSpPr txBox="1"/>
      </xdr:nvSpPr>
      <xdr:spPr>
        <a:xfrm>
          <a:off x="13892788" y="5273633"/>
          <a:ext cx="1568182" cy="101971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b="1">
              <a:solidFill>
                <a:schemeClr val="bg1"/>
              </a:solidFill>
            </a:rPr>
            <a:t>DAMAGE INSULATION </a:t>
          </a:r>
        </a:p>
      </xdr:txBody>
    </xdr:sp>
    <xdr:clientData/>
  </xdr:twoCellAnchor>
  <xdr:twoCellAnchor>
    <xdr:from>
      <xdr:col>23</xdr:col>
      <xdr:colOff>458728</xdr:colOff>
      <xdr:row>28</xdr:row>
      <xdr:rowOff>23453</xdr:rowOff>
    </xdr:from>
    <xdr:to>
      <xdr:col>26</xdr:col>
      <xdr:colOff>198110</xdr:colOff>
      <xdr:row>33</xdr:row>
      <xdr:rowOff>121144</xdr:rowOff>
    </xdr:to>
    <xdr:sp macro="" textlink="">
      <xdr:nvSpPr>
        <xdr:cNvPr id="25" name="TextBox 22">
          <a:extLst>
            <a:ext uri="{FF2B5EF4-FFF2-40B4-BE49-F238E27FC236}">
              <a16:creationId xmlns:a16="http://schemas.microsoft.com/office/drawing/2014/main" xmlns="" id="{ACCEBDC7-7488-4A47-ADAC-8223E42D870C}"/>
            </a:ext>
          </a:extLst>
        </xdr:cNvPr>
        <xdr:cNvSpPr txBox="1"/>
      </xdr:nvSpPr>
      <xdr:spPr>
        <a:xfrm>
          <a:off x="13892788" y="5273633"/>
          <a:ext cx="1568182" cy="101971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b="1">
              <a:solidFill>
                <a:schemeClr val="bg1"/>
              </a:solidFill>
            </a:rPr>
            <a:t>DAMAGE INSULATION </a:t>
          </a:r>
        </a:p>
      </xdr:txBody>
    </xdr:sp>
    <xdr:clientData/>
  </xdr:twoCellAnchor>
  <xdr:twoCellAnchor editAs="oneCell">
    <xdr:from>
      <xdr:col>10</xdr:col>
      <xdr:colOff>112970</xdr:colOff>
      <xdr:row>36</xdr:row>
      <xdr:rowOff>92773</xdr:rowOff>
    </xdr:from>
    <xdr:to>
      <xdr:col>11</xdr:col>
      <xdr:colOff>76203</xdr:colOff>
      <xdr:row>37</xdr:row>
      <xdr:rowOff>588072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CF99E12-0F85-4248-8E8D-81E2B885A0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16200000">
          <a:off x="6022947" y="6870096"/>
          <a:ext cx="678179" cy="565213"/>
        </a:xfrm>
        <a:prstGeom prst="rect">
          <a:avLst/>
        </a:prstGeom>
      </xdr:spPr>
    </xdr:pic>
    <xdr:clientData/>
  </xdr:twoCellAnchor>
  <xdr:twoCellAnchor editAs="oneCell">
    <xdr:from>
      <xdr:col>9</xdr:col>
      <xdr:colOff>34761</xdr:colOff>
      <xdr:row>33</xdr:row>
      <xdr:rowOff>175260</xdr:rowOff>
    </xdr:from>
    <xdr:to>
      <xdr:col>10</xdr:col>
      <xdr:colOff>2</xdr:colOff>
      <xdr:row>38</xdr:row>
      <xdr:rowOff>167639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xmlns="" id="{4020FC87-EC3F-407F-A5B8-89A6BF5DE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16200000">
          <a:off x="4696062" y="7050639"/>
          <a:ext cx="1973579" cy="567221"/>
        </a:xfrm>
        <a:prstGeom prst="rect">
          <a:avLst/>
        </a:prstGeom>
      </xdr:spPr>
    </xdr:pic>
    <xdr:clientData/>
  </xdr:twoCellAnchor>
  <xdr:twoCellAnchor editAs="oneCell">
    <xdr:from>
      <xdr:col>12</xdr:col>
      <xdr:colOff>198125</xdr:colOff>
      <xdr:row>31</xdr:row>
      <xdr:rowOff>91440</xdr:rowOff>
    </xdr:from>
    <xdr:to>
      <xdr:col>12</xdr:col>
      <xdr:colOff>548647</xdr:colOff>
      <xdr:row>37</xdr:row>
      <xdr:rowOff>1234689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xmlns="" id="{DF7D8660-76F7-4041-B6FA-F5F9AC5C79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5881" b="71395"/>
        <a:stretch/>
      </xdr:blipFill>
      <xdr:spPr>
        <a:xfrm rot="16200000">
          <a:off x="6294001" y="6842884"/>
          <a:ext cx="2240529" cy="350522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95257</xdr:colOff>
      <xdr:row>32</xdr:row>
      <xdr:rowOff>91442</xdr:rowOff>
    </xdr:from>
    <xdr:to>
      <xdr:col>11</xdr:col>
      <xdr:colOff>350526</xdr:colOff>
      <xdr:row>37</xdr:row>
      <xdr:rowOff>1108712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xmlns="" id="{1CBE00C5-57C0-46ED-91FE-FE93AB9E73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13193" t="6336" r="42544" b="83935"/>
        <a:stretch/>
      </xdr:blipFill>
      <xdr:spPr>
        <a:xfrm rot="16200000">
          <a:off x="5825497" y="6758942"/>
          <a:ext cx="1931670" cy="25526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68580</xdr:rowOff>
    </xdr:from>
    <xdr:to>
      <xdr:col>4</xdr:col>
      <xdr:colOff>0</xdr:colOff>
      <xdr:row>2</xdr:row>
      <xdr:rowOff>0</xdr:rowOff>
    </xdr:to>
    <xdr:sp macro="" textlink="">
      <xdr:nvSpPr>
        <xdr:cNvPr id="38" name="Rectangle: Top Corners One Rounded and One Snipped 37">
          <a:extLst>
            <a:ext uri="{FF2B5EF4-FFF2-40B4-BE49-F238E27FC236}">
              <a16:creationId xmlns:a16="http://schemas.microsoft.com/office/drawing/2014/main" xmlns="" id="{574A7F58-BB2D-488F-96D3-1ADE6D9F0BB0}"/>
            </a:ext>
          </a:extLst>
        </xdr:cNvPr>
        <xdr:cNvSpPr/>
      </xdr:nvSpPr>
      <xdr:spPr>
        <a:xfrm>
          <a:off x="502920" y="68580"/>
          <a:ext cx="1851660" cy="312420"/>
        </a:xfrm>
        <a:prstGeom prst="snipRoundRect">
          <a:avLst/>
        </a:prstGeom>
        <a:solidFill>
          <a:schemeClr val="accent1">
            <a:lumMod val="60000"/>
            <a:lumOff val="40000"/>
          </a:schemeClr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 insulated Other</a:t>
          </a:r>
        </a:p>
      </xdr:txBody>
    </xdr:sp>
    <xdr:clientData/>
  </xdr:twoCellAnchor>
  <xdr:twoCellAnchor>
    <xdr:from>
      <xdr:col>16</xdr:col>
      <xdr:colOff>312420</xdr:colOff>
      <xdr:row>0</xdr:row>
      <xdr:rowOff>99060</xdr:rowOff>
    </xdr:from>
    <xdr:to>
      <xdr:col>18</xdr:col>
      <xdr:colOff>7620</xdr:colOff>
      <xdr:row>1</xdr:row>
      <xdr:rowOff>121920</xdr:rowOff>
    </xdr:to>
    <xdr:sp macro="" textlink="">
      <xdr:nvSpPr>
        <xdr:cNvPr id="44" name="Flowchart: Terminator 4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xmlns="" id="{E23C4925-D945-40DB-BE9C-CC174A1E3311}"/>
            </a:ext>
          </a:extLst>
        </xdr:cNvPr>
        <xdr:cNvSpPr/>
      </xdr:nvSpPr>
      <xdr:spPr>
        <a:xfrm>
          <a:off x="9928860" y="99060"/>
          <a:ext cx="685800" cy="213360"/>
        </a:xfrm>
        <a:prstGeom prst="flowChartTerminator">
          <a:avLst/>
        </a:prstGeom>
        <a:solidFill>
          <a:schemeClr val="accent6">
            <a:lumMod val="5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 b="1"/>
            <a:t>End </a:t>
          </a:r>
        </a:p>
      </xdr:txBody>
    </xdr:sp>
    <xdr:clientData/>
  </xdr:twoCellAnchor>
  <xdr:twoCellAnchor editAs="oneCell">
    <xdr:from>
      <xdr:col>1</xdr:col>
      <xdr:colOff>45721</xdr:colOff>
      <xdr:row>24</xdr:row>
      <xdr:rowOff>15241</xdr:rowOff>
    </xdr:from>
    <xdr:to>
      <xdr:col>1</xdr:col>
      <xdr:colOff>335281</xdr:colOff>
      <xdr:row>25</xdr:row>
      <xdr:rowOff>173261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xmlns="" id="{6DE199E7-EE26-43A0-875F-334863E615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548641" y="4335781"/>
          <a:ext cx="289560" cy="348520"/>
        </a:xfrm>
        <a:prstGeom prst="rect">
          <a:avLst/>
        </a:prstGeom>
      </xdr:spPr>
    </xdr:pic>
    <xdr:clientData/>
  </xdr:twoCellAnchor>
  <xdr:twoCellAnchor editAs="oneCell">
    <xdr:from>
      <xdr:col>16</xdr:col>
      <xdr:colOff>83820</xdr:colOff>
      <xdr:row>23</xdr:row>
      <xdr:rowOff>175260</xdr:rowOff>
    </xdr:from>
    <xdr:to>
      <xdr:col>18</xdr:col>
      <xdr:colOff>138281</xdr:colOff>
      <xdr:row>27</xdr:row>
      <xdr:rowOff>81735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xmlns="" id="{BDF4A509-D13A-4A66-BC34-9529C9D51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700260" y="4465320"/>
          <a:ext cx="1128881" cy="668475"/>
        </a:xfrm>
        <a:prstGeom prst="rect">
          <a:avLst/>
        </a:prstGeom>
      </xdr:spPr>
    </xdr:pic>
    <xdr:clientData/>
  </xdr:twoCellAnchor>
  <xdr:twoCellAnchor editAs="oneCell">
    <xdr:from>
      <xdr:col>12</xdr:col>
      <xdr:colOff>60960</xdr:colOff>
      <xdr:row>42</xdr:row>
      <xdr:rowOff>114300</xdr:rowOff>
    </xdr:from>
    <xdr:to>
      <xdr:col>13</xdr:col>
      <xdr:colOff>62635</xdr:colOff>
      <xdr:row>44</xdr:row>
      <xdr:rowOff>137160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xmlns="" id="{C45C336E-239C-4B80-B0B3-C309844D38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101840" y="10538460"/>
          <a:ext cx="771295" cy="464820"/>
        </a:xfrm>
        <a:prstGeom prst="rect">
          <a:avLst/>
        </a:prstGeom>
        <a:ln w="25400">
          <a:solidFill>
            <a:schemeClr val="tx1"/>
          </a:solidFill>
        </a:ln>
      </xdr:spPr>
    </xdr:pic>
    <xdr:clientData/>
  </xdr:twoCellAnchor>
  <xdr:twoCellAnchor editAs="oneCell">
    <xdr:from>
      <xdr:col>8</xdr:col>
      <xdr:colOff>541020</xdr:colOff>
      <xdr:row>46</xdr:row>
      <xdr:rowOff>83820</xdr:rowOff>
    </xdr:from>
    <xdr:to>
      <xdr:col>11</xdr:col>
      <xdr:colOff>387774</xdr:colOff>
      <xdr:row>48</xdr:row>
      <xdr:rowOff>68580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xmlns="" id="{D06DDA6A-B279-49BD-8253-A0D9B9C6A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303520" y="11346180"/>
          <a:ext cx="1652694" cy="365760"/>
        </a:xfrm>
        <a:prstGeom prst="rect">
          <a:avLst/>
        </a:prstGeom>
      </xdr:spPr>
    </xdr:pic>
    <xdr:clientData/>
  </xdr:twoCellAnchor>
  <xdr:twoCellAnchor>
    <xdr:from>
      <xdr:col>11</xdr:col>
      <xdr:colOff>388620</xdr:colOff>
      <xdr:row>41</xdr:row>
      <xdr:rowOff>15240</xdr:rowOff>
    </xdr:from>
    <xdr:to>
      <xdr:col>19</xdr:col>
      <xdr:colOff>487680</xdr:colOff>
      <xdr:row>43</xdr:row>
      <xdr:rowOff>0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xmlns="" id="{E2AAA0DE-B692-4FFD-9015-6495A0BBF53F}"/>
            </a:ext>
          </a:extLst>
        </xdr:cNvPr>
        <xdr:cNvCxnSpPr/>
      </xdr:nvCxnSpPr>
      <xdr:spPr>
        <a:xfrm flipH="1" flipV="1">
          <a:off x="6957060" y="10043160"/>
          <a:ext cx="4526280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137160</xdr:colOff>
      <xdr:row>9</xdr:row>
      <xdr:rowOff>106680</xdr:rowOff>
    </xdr:from>
    <xdr:to>
      <xdr:col>16</xdr:col>
      <xdr:colOff>449580</xdr:colOff>
      <xdr:row>11</xdr:row>
      <xdr:rowOff>91440</xdr:rowOff>
    </xdr:to>
    <xdr:sp macro="" textlink="">
      <xdr:nvSpPr>
        <xdr:cNvPr id="40" name="Flowchart: Terminator 39">
          <a:extLst>
            <a:ext uri="{FF2B5EF4-FFF2-40B4-BE49-F238E27FC236}">
              <a16:creationId xmlns:a16="http://schemas.microsoft.com/office/drawing/2014/main" xmlns="" id="{445AD750-7905-44B2-AED6-7F9CC6B91F77}"/>
            </a:ext>
          </a:extLst>
        </xdr:cNvPr>
        <xdr:cNvSpPr/>
      </xdr:nvSpPr>
      <xdr:spPr>
        <a:xfrm>
          <a:off x="9151620" y="1729740"/>
          <a:ext cx="914400" cy="365760"/>
        </a:xfrm>
        <a:prstGeom prst="flowChartTerminator">
          <a:avLst/>
        </a:prstGeom>
        <a:solidFill>
          <a:schemeClr val="accent6"/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/>
            <a:t>CHECK</a:t>
          </a:r>
          <a:r>
            <a:rPr lang="en-GB" sz="1100"/>
            <a:t> </a:t>
          </a:r>
        </a:p>
      </xdr:txBody>
    </xdr:sp>
    <xdr:clientData/>
  </xdr:twoCellAnchor>
  <xdr:twoCellAnchor editAs="oneCell">
    <xdr:from>
      <xdr:col>16</xdr:col>
      <xdr:colOff>548640</xdr:colOff>
      <xdr:row>9</xdr:row>
      <xdr:rowOff>22860</xdr:rowOff>
    </xdr:from>
    <xdr:to>
      <xdr:col>17</xdr:col>
      <xdr:colOff>457200</xdr:colOff>
      <xdr:row>11</xdr:row>
      <xdr:rowOff>152400</xdr:rowOff>
    </xdr:to>
    <xdr:pic>
      <xdr:nvPicPr>
        <xdr:cNvPr id="41" name="Graphic 40" descr="Shar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xmlns="" id="{C34562F9-E2BB-4F9F-B8F3-9FF7580B42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8"/>
            </a:ext>
          </a:extLst>
        </a:blip>
        <a:stretch>
          <a:fillRect/>
        </a:stretch>
      </xdr:blipFill>
      <xdr:spPr>
        <a:xfrm>
          <a:off x="10165080" y="1645920"/>
          <a:ext cx="510540" cy="510540"/>
        </a:xfrm>
        <a:prstGeom prst="rect">
          <a:avLst/>
        </a:prstGeom>
      </xdr:spPr>
    </xdr:pic>
    <xdr:clientData/>
  </xdr:twoCellAnchor>
  <xdr:twoCellAnchor>
    <xdr:from>
      <xdr:col>15</xdr:col>
      <xdr:colOff>76200</xdr:colOff>
      <xdr:row>0</xdr:row>
      <xdr:rowOff>91440</xdr:rowOff>
    </xdr:from>
    <xdr:to>
      <xdr:col>16</xdr:col>
      <xdr:colOff>167640</xdr:colOff>
      <xdr:row>1</xdr:row>
      <xdr:rowOff>121920</xdr:rowOff>
    </xdr:to>
    <xdr:sp macro="" textlink="">
      <xdr:nvSpPr>
        <xdr:cNvPr id="36" name="Flowchart: Terminator 35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xmlns="" id="{F950B227-49FD-4CB0-971B-069169702BEE}"/>
            </a:ext>
          </a:extLst>
        </xdr:cNvPr>
        <xdr:cNvSpPr/>
      </xdr:nvSpPr>
      <xdr:spPr>
        <a:xfrm>
          <a:off x="9090660" y="91440"/>
          <a:ext cx="693420" cy="220980"/>
        </a:xfrm>
        <a:prstGeom prst="flowChartTerminator">
          <a:avLst/>
        </a:prstGeom>
        <a:noFill/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 b="1"/>
            <a:t>back   </a:t>
          </a:r>
        </a:p>
      </xdr:txBody>
    </xdr:sp>
    <xdr:clientData/>
  </xdr:twoCellAnchor>
  <xdr:twoCellAnchor>
    <xdr:from>
      <xdr:col>7</xdr:col>
      <xdr:colOff>83820</xdr:colOff>
      <xdr:row>12</xdr:row>
      <xdr:rowOff>114300</xdr:rowOff>
    </xdr:from>
    <xdr:to>
      <xdr:col>20</xdr:col>
      <xdr:colOff>320040</xdr:colOff>
      <xdr:row>13</xdr:row>
      <xdr:rowOff>30480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22F077BF-ADA8-429B-A0E2-92E89FF0F7EF}"/>
            </a:ext>
          </a:extLst>
        </xdr:cNvPr>
        <xdr:cNvCxnSpPr/>
      </xdr:nvCxnSpPr>
      <xdr:spPr>
        <a:xfrm flipV="1">
          <a:off x="4244340" y="2148840"/>
          <a:ext cx="7764780" cy="1066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525980</xdr:colOff>
      <xdr:row>13</xdr:row>
      <xdr:rowOff>30480</xdr:rowOff>
    </xdr:from>
    <xdr:to>
      <xdr:col>10</xdr:col>
      <xdr:colOff>473802</xdr:colOff>
      <xdr:row>15</xdr:row>
      <xdr:rowOff>15240</xdr:rowOff>
    </xdr:to>
    <xdr:sp macro="" textlink="">
      <xdr:nvSpPr>
        <xdr:cNvPr id="32" name="Flowchart: Terminator 31">
          <a:extLst>
            <a:ext uri="{FF2B5EF4-FFF2-40B4-BE49-F238E27FC236}">
              <a16:creationId xmlns:a16="http://schemas.microsoft.com/office/drawing/2014/main" xmlns="" id="{E1D260F5-0C41-432A-9482-0F49CD97687F}"/>
            </a:ext>
          </a:extLst>
        </xdr:cNvPr>
        <xdr:cNvSpPr/>
      </xdr:nvSpPr>
      <xdr:spPr>
        <a:xfrm>
          <a:off x="4686500" y="2255520"/>
          <a:ext cx="1753762" cy="365760"/>
        </a:xfrm>
        <a:prstGeom prst="flowChartTerminator">
          <a:avLst/>
        </a:prstGeom>
        <a:solidFill>
          <a:schemeClr val="accent1">
            <a:lumMod val="60000"/>
            <a:lumOff val="4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/>
            <a:t>Description</a:t>
          </a:r>
          <a:r>
            <a:rPr lang="en-GB" sz="1600" baseline="0"/>
            <a:t> </a:t>
          </a:r>
          <a:r>
            <a:rPr lang="en-GB" sz="1100"/>
            <a:t> </a:t>
          </a:r>
        </a:p>
      </xdr:txBody>
    </xdr:sp>
    <xdr:clientData/>
  </xdr:twoCellAnchor>
  <xdr:twoCellAnchor>
    <xdr:from>
      <xdr:col>14</xdr:col>
      <xdr:colOff>373380</xdr:colOff>
      <xdr:row>96</xdr:row>
      <xdr:rowOff>60960</xdr:rowOff>
    </xdr:from>
    <xdr:to>
      <xdr:col>20</xdr:col>
      <xdr:colOff>297180</xdr:colOff>
      <xdr:row>98</xdr:row>
      <xdr:rowOff>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xmlns="" id="{EA544A38-D95F-495E-BA74-BF5EB319F516}"/>
            </a:ext>
          </a:extLst>
        </xdr:cNvPr>
        <xdr:cNvCxnSpPr/>
      </xdr:nvCxnSpPr>
      <xdr:spPr>
        <a:xfrm flipH="1" flipV="1">
          <a:off x="8785860" y="9014460"/>
          <a:ext cx="3200400" cy="5638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83820</xdr:colOff>
      <xdr:row>102</xdr:row>
      <xdr:rowOff>114300</xdr:rowOff>
    </xdr:from>
    <xdr:ext cx="556260" cy="441960"/>
    <xdr:pic>
      <xdr:nvPicPr>
        <xdr:cNvPr id="39" name="Picture 38">
          <a:extLst>
            <a:ext uri="{FF2B5EF4-FFF2-40B4-BE49-F238E27FC236}">
              <a16:creationId xmlns:a16="http://schemas.microsoft.com/office/drawing/2014/main" xmlns="" id="{2FD91F9D-87BD-42D1-8D63-97008A82C1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/>
        <a:srcRect l="11597" r="32278"/>
        <a:stretch/>
      </xdr:blipFill>
      <xdr:spPr>
        <a:xfrm>
          <a:off x="83820" y="10485120"/>
          <a:ext cx="556260" cy="441960"/>
        </a:xfrm>
        <a:prstGeom prst="rect">
          <a:avLst/>
        </a:prstGeom>
      </xdr:spPr>
    </xdr:pic>
    <xdr:clientData/>
  </xdr:oneCellAnchor>
  <xdr:oneCellAnchor>
    <xdr:from>
      <xdr:col>12</xdr:col>
      <xdr:colOff>60960</xdr:colOff>
      <xdr:row>97</xdr:row>
      <xdr:rowOff>114300</xdr:rowOff>
    </xdr:from>
    <xdr:ext cx="771295" cy="457200"/>
    <xdr:pic>
      <xdr:nvPicPr>
        <xdr:cNvPr id="42" name="Picture 41">
          <a:extLst>
            <a:ext uri="{FF2B5EF4-FFF2-40B4-BE49-F238E27FC236}">
              <a16:creationId xmlns:a16="http://schemas.microsoft.com/office/drawing/2014/main" xmlns="" id="{05D82D6C-1465-405F-BAEC-E7A2D0CDA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101840" y="9464040"/>
          <a:ext cx="771295" cy="457200"/>
        </a:xfrm>
        <a:prstGeom prst="rect">
          <a:avLst/>
        </a:prstGeom>
        <a:ln w="25400">
          <a:solidFill>
            <a:schemeClr val="tx1"/>
          </a:solidFill>
        </a:ln>
      </xdr:spPr>
    </xdr:pic>
    <xdr:clientData/>
  </xdr:oneCellAnchor>
  <xdr:oneCellAnchor>
    <xdr:from>
      <xdr:col>8</xdr:col>
      <xdr:colOff>541020</xdr:colOff>
      <xdr:row>101</xdr:row>
      <xdr:rowOff>83820</xdr:rowOff>
    </xdr:from>
    <xdr:ext cx="1652694" cy="350520"/>
    <xdr:pic>
      <xdr:nvPicPr>
        <xdr:cNvPr id="43" name="Picture 42">
          <a:extLst>
            <a:ext uri="{FF2B5EF4-FFF2-40B4-BE49-F238E27FC236}">
              <a16:creationId xmlns:a16="http://schemas.microsoft.com/office/drawing/2014/main" xmlns="" id="{5F0F037D-7A85-48DA-8CCD-F311B720F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303520" y="10271760"/>
          <a:ext cx="1652694" cy="350520"/>
        </a:xfrm>
        <a:prstGeom prst="rect">
          <a:avLst/>
        </a:prstGeom>
      </xdr:spPr>
    </xdr:pic>
    <xdr:clientData/>
  </xdr:oneCellAnchor>
  <xdr:twoCellAnchor>
    <xdr:from>
      <xdr:col>11</xdr:col>
      <xdr:colOff>388620</xdr:colOff>
      <xdr:row>96</xdr:row>
      <xdr:rowOff>15240</xdr:rowOff>
    </xdr:from>
    <xdr:to>
      <xdr:col>19</xdr:col>
      <xdr:colOff>487680</xdr:colOff>
      <xdr:row>98</xdr:row>
      <xdr:rowOff>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xmlns="" id="{E7AEEC36-070C-48C5-879B-41F2EFEB81F7}"/>
            </a:ext>
          </a:extLst>
        </xdr:cNvPr>
        <xdr:cNvCxnSpPr/>
      </xdr:nvCxnSpPr>
      <xdr:spPr>
        <a:xfrm flipH="1" flipV="1">
          <a:off x="6957060" y="8968740"/>
          <a:ext cx="4610100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458728</xdr:colOff>
      <xdr:row>39</xdr:row>
      <xdr:rowOff>23453</xdr:rowOff>
    </xdr:from>
    <xdr:to>
      <xdr:col>26</xdr:col>
      <xdr:colOff>198110</xdr:colOff>
      <xdr:row>42</xdr:row>
      <xdr:rowOff>121144</xdr:rowOff>
    </xdr:to>
    <xdr:sp macro="" textlink="">
      <xdr:nvSpPr>
        <xdr:cNvPr id="2" name="TextBox 22">
          <a:extLst>
            <a:ext uri="{FF2B5EF4-FFF2-40B4-BE49-F238E27FC236}">
              <a16:creationId xmlns:a16="http://schemas.microsoft.com/office/drawing/2014/main" xmlns="" id="{6D125525-A630-429E-8018-649B3C0661D8}"/>
            </a:ext>
          </a:extLst>
        </xdr:cNvPr>
        <xdr:cNvSpPr txBox="1"/>
      </xdr:nvSpPr>
      <xdr:spPr>
        <a:xfrm>
          <a:off x="13648948" y="5517473"/>
          <a:ext cx="1568182" cy="64633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b="1">
              <a:solidFill>
                <a:schemeClr val="bg1"/>
              </a:solidFill>
            </a:rPr>
            <a:t>DAMAGE INSULATION </a:t>
          </a:r>
        </a:p>
      </xdr:txBody>
    </xdr:sp>
    <xdr:clientData/>
  </xdr:twoCellAnchor>
  <xdr:twoCellAnchor>
    <xdr:from>
      <xdr:col>23</xdr:col>
      <xdr:colOff>458728</xdr:colOff>
      <xdr:row>39</xdr:row>
      <xdr:rowOff>23453</xdr:rowOff>
    </xdr:from>
    <xdr:to>
      <xdr:col>26</xdr:col>
      <xdr:colOff>198110</xdr:colOff>
      <xdr:row>42</xdr:row>
      <xdr:rowOff>121144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xmlns="" id="{9A52BD6A-6909-419B-A05E-58DA0106C32C}"/>
            </a:ext>
          </a:extLst>
        </xdr:cNvPr>
        <xdr:cNvSpPr txBox="1"/>
      </xdr:nvSpPr>
      <xdr:spPr>
        <a:xfrm>
          <a:off x="13648948" y="5517473"/>
          <a:ext cx="1568182" cy="64633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b="1">
              <a:solidFill>
                <a:schemeClr val="bg1"/>
              </a:solidFill>
            </a:rPr>
            <a:t>DAMAGE INSULATION </a:t>
          </a:r>
        </a:p>
      </xdr:txBody>
    </xdr:sp>
    <xdr:clientData/>
  </xdr:twoCellAnchor>
  <xdr:twoCellAnchor editAs="oneCell">
    <xdr:from>
      <xdr:col>1</xdr:col>
      <xdr:colOff>350520</xdr:colOff>
      <xdr:row>6</xdr:row>
      <xdr:rowOff>68581</xdr:rowOff>
    </xdr:from>
    <xdr:to>
      <xdr:col>2</xdr:col>
      <xdr:colOff>388620</xdr:colOff>
      <xdr:row>8</xdr:row>
      <xdr:rowOff>129541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8BE9E21D-5CC5-4D0F-8CEF-2F0E123DD1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/>
        <a:srcRect t="4629"/>
        <a:stretch/>
      </xdr:blipFill>
      <xdr:spPr>
        <a:xfrm>
          <a:off x="708660" y="998221"/>
          <a:ext cx="396240" cy="42672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76200</xdr:rowOff>
    </xdr:from>
    <xdr:to>
      <xdr:col>3</xdr:col>
      <xdr:colOff>350520</xdr:colOff>
      <xdr:row>2</xdr:row>
      <xdr:rowOff>7620</xdr:rowOff>
    </xdr:to>
    <xdr:sp macro="" textlink="">
      <xdr:nvSpPr>
        <xdr:cNvPr id="5" name="Rectangle: Top Corners One Rounded and One Snipped 4">
          <a:extLst>
            <a:ext uri="{FF2B5EF4-FFF2-40B4-BE49-F238E27FC236}">
              <a16:creationId xmlns:a16="http://schemas.microsoft.com/office/drawing/2014/main" xmlns="" id="{9A968EE2-A0B4-4E10-9964-ACAC7E52B412}"/>
            </a:ext>
          </a:extLst>
        </xdr:cNvPr>
        <xdr:cNvSpPr/>
      </xdr:nvSpPr>
      <xdr:spPr>
        <a:xfrm>
          <a:off x="358140" y="76200"/>
          <a:ext cx="1600200" cy="312420"/>
        </a:xfrm>
        <a:prstGeom prst="snipRoundRect">
          <a:avLst/>
        </a:prstGeom>
        <a:solidFill>
          <a:schemeClr val="accent1">
            <a:lumMod val="60000"/>
            <a:lumOff val="40000"/>
          </a:schemeClr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1100" b="1">
              <a:solidFill>
                <a:schemeClr val="lt1"/>
              </a:solidFill>
              <a:latin typeface="+mn-lt"/>
              <a:ea typeface="+mn-ea"/>
              <a:cs typeface="+mn-cs"/>
            </a:rPr>
            <a:t>Insulated Surface</a:t>
          </a:r>
        </a:p>
      </xdr:txBody>
    </xdr:sp>
    <xdr:clientData/>
  </xdr:twoCellAnchor>
  <xdr:twoCellAnchor editAs="oneCell">
    <xdr:from>
      <xdr:col>2</xdr:col>
      <xdr:colOff>556260</xdr:colOff>
      <xdr:row>6</xdr:row>
      <xdr:rowOff>53340</xdr:rowOff>
    </xdr:from>
    <xdr:to>
      <xdr:col>3</xdr:col>
      <xdr:colOff>106680</xdr:colOff>
      <xdr:row>8</xdr:row>
      <xdr:rowOff>129540</xdr:rowOff>
    </xdr:to>
    <xdr:pic>
      <xdr:nvPicPr>
        <xdr:cNvPr id="6" name="Graphic 5" descr="Open Folder">
          <a:extLst>
            <a:ext uri="{FF2B5EF4-FFF2-40B4-BE49-F238E27FC236}">
              <a16:creationId xmlns:a16="http://schemas.microsoft.com/office/drawing/2014/main" xmlns="" id="{AAF21E05-897E-4D99-B3C9-A77A16835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1272540" y="982980"/>
          <a:ext cx="441960" cy="441960"/>
        </a:xfrm>
        <a:prstGeom prst="rect">
          <a:avLst/>
        </a:prstGeom>
      </xdr:spPr>
    </xdr:pic>
    <xdr:clientData/>
  </xdr:twoCellAnchor>
  <xdr:twoCellAnchor>
    <xdr:from>
      <xdr:col>16</xdr:col>
      <xdr:colOff>312420</xdr:colOff>
      <xdr:row>0</xdr:row>
      <xdr:rowOff>99060</xdr:rowOff>
    </xdr:from>
    <xdr:to>
      <xdr:col>18</xdr:col>
      <xdr:colOff>7620</xdr:colOff>
      <xdr:row>1</xdr:row>
      <xdr:rowOff>121920</xdr:rowOff>
    </xdr:to>
    <xdr:sp macro="" textlink="">
      <xdr:nvSpPr>
        <xdr:cNvPr id="7" name="Flowchart: Terminator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DB4AE842-CD8E-4CD7-AF8C-38D59EB221FA}"/>
            </a:ext>
          </a:extLst>
        </xdr:cNvPr>
        <xdr:cNvSpPr/>
      </xdr:nvSpPr>
      <xdr:spPr>
        <a:xfrm>
          <a:off x="9685020" y="99060"/>
          <a:ext cx="685800" cy="213360"/>
        </a:xfrm>
        <a:prstGeom prst="flowChartTerminator">
          <a:avLst/>
        </a:prstGeom>
        <a:solidFill>
          <a:schemeClr val="accent6">
            <a:lumMod val="5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 b="1"/>
            <a:t>End </a:t>
          </a:r>
        </a:p>
      </xdr:txBody>
    </xdr:sp>
    <xdr:clientData/>
  </xdr:twoCellAnchor>
  <xdr:twoCellAnchor>
    <xdr:from>
      <xdr:col>7</xdr:col>
      <xdr:colOff>533400</xdr:colOff>
      <xdr:row>24</xdr:row>
      <xdr:rowOff>45720</xdr:rowOff>
    </xdr:from>
    <xdr:to>
      <xdr:col>10</xdr:col>
      <xdr:colOff>481222</xdr:colOff>
      <xdr:row>26</xdr:row>
      <xdr:rowOff>30480</xdr:rowOff>
    </xdr:to>
    <xdr:sp macro="" textlink="">
      <xdr:nvSpPr>
        <xdr:cNvPr id="10" name="Flowchart: Terminator 9">
          <a:extLst>
            <a:ext uri="{FF2B5EF4-FFF2-40B4-BE49-F238E27FC236}">
              <a16:creationId xmlns:a16="http://schemas.microsoft.com/office/drawing/2014/main" xmlns="" id="{B438DFF5-77F9-418E-8986-232D175D4828}"/>
            </a:ext>
          </a:extLst>
        </xdr:cNvPr>
        <xdr:cNvSpPr/>
      </xdr:nvSpPr>
      <xdr:spPr>
        <a:xfrm>
          <a:off x="4297680" y="4404360"/>
          <a:ext cx="1753762" cy="365760"/>
        </a:xfrm>
        <a:prstGeom prst="flowChartTerminator">
          <a:avLst/>
        </a:prstGeom>
        <a:solidFill>
          <a:schemeClr val="accent1">
            <a:lumMod val="60000"/>
            <a:lumOff val="4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/>
            <a:t>Comments</a:t>
          </a:r>
          <a:r>
            <a:rPr lang="en-GB" sz="1100"/>
            <a:t> </a:t>
          </a:r>
        </a:p>
      </xdr:txBody>
    </xdr:sp>
    <xdr:clientData/>
  </xdr:twoCellAnchor>
  <xdr:twoCellAnchor>
    <xdr:from>
      <xdr:col>7</xdr:col>
      <xdr:colOff>547404</xdr:colOff>
      <xdr:row>21</xdr:row>
      <xdr:rowOff>60960</xdr:rowOff>
    </xdr:from>
    <xdr:to>
      <xdr:col>10</xdr:col>
      <xdr:colOff>502720</xdr:colOff>
      <xdr:row>23</xdr:row>
      <xdr:rowOff>60960</xdr:rowOff>
    </xdr:to>
    <xdr:sp macro="" textlink="">
      <xdr:nvSpPr>
        <xdr:cNvPr id="11" name="Flowchart: Terminator 10">
          <a:extLst>
            <a:ext uri="{FF2B5EF4-FFF2-40B4-BE49-F238E27FC236}">
              <a16:creationId xmlns:a16="http://schemas.microsoft.com/office/drawing/2014/main" xmlns="" id="{1303710A-D4C4-4D12-B97F-380E219009CF}"/>
            </a:ext>
          </a:extLst>
        </xdr:cNvPr>
        <xdr:cNvSpPr/>
      </xdr:nvSpPr>
      <xdr:spPr>
        <a:xfrm>
          <a:off x="4311684" y="3848100"/>
          <a:ext cx="1761256" cy="381000"/>
        </a:xfrm>
        <a:prstGeom prst="flowChartTerminator">
          <a:avLst/>
        </a:prstGeom>
        <a:solidFill>
          <a:schemeClr val="accent1">
            <a:lumMod val="60000"/>
            <a:lumOff val="4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/>
            <a:t>Space issue</a:t>
          </a:r>
          <a:endParaRPr lang="en-GB" sz="1100"/>
        </a:p>
      </xdr:txBody>
    </xdr:sp>
    <xdr:clientData/>
  </xdr:twoCellAnchor>
  <xdr:twoCellAnchor>
    <xdr:from>
      <xdr:col>7</xdr:col>
      <xdr:colOff>548440</xdr:colOff>
      <xdr:row>18</xdr:row>
      <xdr:rowOff>129540</xdr:rowOff>
    </xdr:from>
    <xdr:to>
      <xdr:col>10</xdr:col>
      <xdr:colOff>451293</xdr:colOff>
      <xdr:row>20</xdr:row>
      <xdr:rowOff>121920</xdr:rowOff>
    </xdr:to>
    <xdr:sp macro="" textlink="">
      <xdr:nvSpPr>
        <xdr:cNvPr id="12" name="Flowchart: Terminator 11">
          <a:extLst>
            <a:ext uri="{FF2B5EF4-FFF2-40B4-BE49-F238E27FC236}">
              <a16:creationId xmlns:a16="http://schemas.microsoft.com/office/drawing/2014/main" xmlns="" id="{DE2580AF-6CA2-4BB2-B384-864CD06D8219}"/>
            </a:ext>
          </a:extLst>
        </xdr:cNvPr>
        <xdr:cNvSpPr/>
      </xdr:nvSpPr>
      <xdr:spPr>
        <a:xfrm>
          <a:off x="4312720" y="3345180"/>
          <a:ext cx="1708793" cy="373380"/>
        </a:xfrm>
        <a:prstGeom prst="flowChartTerminator">
          <a:avLst/>
        </a:prstGeom>
        <a:solidFill>
          <a:schemeClr val="accent1">
            <a:lumMod val="60000"/>
            <a:lumOff val="4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/>
            <a:t>Operational</a:t>
          </a:r>
          <a:r>
            <a:rPr lang="en-GB" sz="1600" baseline="0"/>
            <a:t> </a:t>
          </a:r>
          <a:r>
            <a:rPr lang="en-GB" sz="1600"/>
            <a:t> risk </a:t>
          </a:r>
          <a:r>
            <a:rPr lang="en-GB" sz="1100"/>
            <a:t> </a:t>
          </a:r>
        </a:p>
      </xdr:txBody>
    </xdr:sp>
    <xdr:clientData/>
  </xdr:twoCellAnchor>
  <xdr:twoCellAnchor>
    <xdr:from>
      <xdr:col>7</xdr:col>
      <xdr:colOff>578920</xdr:colOff>
      <xdr:row>15</xdr:row>
      <xdr:rowOff>182880</xdr:rowOff>
    </xdr:from>
    <xdr:to>
      <xdr:col>10</xdr:col>
      <xdr:colOff>481773</xdr:colOff>
      <xdr:row>17</xdr:row>
      <xdr:rowOff>175260</xdr:rowOff>
    </xdr:to>
    <xdr:sp macro="" textlink="">
      <xdr:nvSpPr>
        <xdr:cNvPr id="13" name="Flowchart: Terminator 12">
          <a:extLst>
            <a:ext uri="{FF2B5EF4-FFF2-40B4-BE49-F238E27FC236}">
              <a16:creationId xmlns:a16="http://schemas.microsoft.com/office/drawing/2014/main" xmlns="" id="{F28D8759-5713-44FA-A6FB-2A224AFED8FB}"/>
            </a:ext>
          </a:extLst>
        </xdr:cNvPr>
        <xdr:cNvSpPr/>
      </xdr:nvSpPr>
      <xdr:spPr>
        <a:xfrm>
          <a:off x="4343200" y="2827020"/>
          <a:ext cx="1708793" cy="373380"/>
        </a:xfrm>
        <a:prstGeom prst="flowChartTerminator">
          <a:avLst/>
        </a:prstGeom>
        <a:solidFill>
          <a:schemeClr val="accent1">
            <a:lumMod val="60000"/>
            <a:lumOff val="4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/>
            <a:t>Safety risk </a:t>
          </a:r>
          <a:r>
            <a:rPr lang="en-GB" sz="1100"/>
            <a:t> </a:t>
          </a:r>
        </a:p>
      </xdr:txBody>
    </xdr:sp>
    <xdr:clientData/>
  </xdr:twoCellAnchor>
  <xdr:twoCellAnchor editAs="oneCell">
    <xdr:from>
      <xdr:col>3</xdr:col>
      <xdr:colOff>518161</xdr:colOff>
      <xdr:row>12</xdr:row>
      <xdr:rowOff>22861</xdr:rowOff>
    </xdr:from>
    <xdr:to>
      <xdr:col>4</xdr:col>
      <xdr:colOff>263994</xdr:colOff>
      <xdr:row>14</xdr:row>
      <xdr:rowOff>7621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B1AA0E7B-22B8-4E10-9A75-E62584B574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125981" y="2095501"/>
          <a:ext cx="347813" cy="365760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571500</xdr:colOff>
      <xdr:row>24</xdr:row>
      <xdr:rowOff>22860</xdr:rowOff>
    </xdr:from>
    <xdr:to>
      <xdr:col>4</xdr:col>
      <xdr:colOff>259080</xdr:colOff>
      <xdr:row>26</xdr:row>
      <xdr:rowOff>5620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4B5A4142-7CE8-4A39-8673-FD71C7B2D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2179320" y="4381500"/>
          <a:ext cx="289560" cy="363760"/>
        </a:xfrm>
        <a:prstGeom prst="rect">
          <a:avLst/>
        </a:prstGeom>
      </xdr:spPr>
    </xdr:pic>
    <xdr:clientData/>
  </xdr:twoCellAnchor>
  <xdr:twoCellAnchor editAs="oneCell">
    <xdr:from>
      <xdr:col>16</xdr:col>
      <xdr:colOff>60960</xdr:colOff>
      <xdr:row>24</xdr:row>
      <xdr:rowOff>7620</xdr:rowOff>
    </xdr:from>
    <xdr:to>
      <xdr:col>18</xdr:col>
      <xdr:colOff>199241</xdr:colOff>
      <xdr:row>27</xdr:row>
      <xdr:rowOff>127455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0DE9A376-AD39-4584-9915-4B53F1311C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433560" y="4366260"/>
          <a:ext cx="1128881" cy="668475"/>
        </a:xfrm>
        <a:prstGeom prst="rect">
          <a:avLst/>
        </a:prstGeom>
      </xdr:spPr>
    </xdr:pic>
    <xdr:clientData/>
  </xdr:twoCellAnchor>
  <xdr:twoCellAnchor editAs="oneCell">
    <xdr:from>
      <xdr:col>10</xdr:col>
      <xdr:colOff>67250</xdr:colOff>
      <xdr:row>42</xdr:row>
      <xdr:rowOff>77533</xdr:rowOff>
    </xdr:from>
    <xdr:to>
      <xdr:col>10</xdr:col>
      <xdr:colOff>441963</xdr:colOff>
      <xdr:row>42</xdr:row>
      <xdr:rowOff>572832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BFCF5ECC-3A6A-46CF-9F8C-F8FB85ECA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16200000">
          <a:off x="5577177" y="6180486"/>
          <a:ext cx="495299" cy="374713"/>
        </a:xfrm>
        <a:prstGeom prst="rect">
          <a:avLst/>
        </a:prstGeom>
      </xdr:spPr>
    </xdr:pic>
    <xdr:clientData/>
  </xdr:twoCellAnchor>
  <xdr:twoCellAnchor editAs="oneCell">
    <xdr:from>
      <xdr:col>9</xdr:col>
      <xdr:colOff>133822</xdr:colOff>
      <xdr:row>41</xdr:row>
      <xdr:rowOff>0</xdr:rowOff>
    </xdr:from>
    <xdr:to>
      <xdr:col>9</xdr:col>
      <xdr:colOff>403861</xdr:colOff>
      <xdr:row>42</xdr:row>
      <xdr:rowOff>745806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FEC1C7F4-BE82-4FAE-8CC9-8FE825DBE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16200000">
          <a:off x="4772739" y="6189103"/>
          <a:ext cx="928686" cy="270039"/>
        </a:xfrm>
        <a:prstGeom prst="rect">
          <a:avLst/>
        </a:prstGeom>
      </xdr:spPr>
    </xdr:pic>
    <xdr:clientData/>
  </xdr:twoCellAnchor>
  <xdr:twoCellAnchor editAs="oneCell">
    <xdr:from>
      <xdr:col>12</xdr:col>
      <xdr:colOff>262945</xdr:colOff>
      <xdr:row>38</xdr:row>
      <xdr:rowOff>14442</xdr:rowOff>
    </xdr:from>
    <xdr:to>
      <xdr:col>12</xdr:col>
      <xdr:colOff>508635</xdr:colOff>
      <xdr:row>42</xdr:row>
      <xdr:rowOff>842010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FD01DAB0-574F-408C-BA94-5FED7D06DD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t="5881" b="71395"/>
        <a:stretch/>
      </xdr:blipFill>
      <xdr:spPr>
        <a:xfrm rot="16200000">
          <a:off x="6250886" y="7628201"/>
          <a:ext cx="1559088" cy="245690"/>
        </a:xfrm>
        <a:prstGeom prst="rect">
          <a:avLst/>
        </a:prstGeom>
      </xdr:spPr>
    </xdr:pic>
    <xdr:clientData/>
  </xdr:twoCellAnchor>
  <xdr:twoCellAnchor editAs="oneCell">
    <xdr:from>
      <xdr:col>11</xdr:col>
      <xdr:colOff>110498</xdr:colOff>
      <xdr:row>39</xdr:row>
      <xdr:rowOff>7622</xdr:rowOff>
    </xdr:from>
    <xdr:to>
      <xdr:col>11</xdr:col>
      <xdr:colOff>269851</xdr:colOff>
      <xdr:row>42</xdr:row>
      <xdr:rowOff>655320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xmlns="" id="{C0915C93-7EBA-464D-9380-D619A9E022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l="13193" t="6336" r="42544" b="83935"/>
        <a:stretch/>
      </xdr:blipFill>
      <xdr:spPr>
        <a:xfrm rot="16200000">
          <a:off x="5764206" y="6020134"/>
          <a:ext cx="1196338" cy="159353"/>
        </a:xfrm>
        <a:prstGeom prst="rect">
          <a:avLst/>
        </a:prstGeom>
      </xdr:spPr>
    </xdr:pic>
    <xdr:clientData/>
  </xdr:twoCellAnchor>
  <xdr:twoCellAnchor>
    <xdr:from>
      <xdr:col>14</xdr:col>
      <xdr:colOff>556260</xdr:colOff>
      <xdr:row>9</xdr:row>
      <xdr:rowOff>68580</xdr:rowOff>
    </xdr:from>
    <xdr:to>
      <xdr:col>16</xdr:col>
      <xdr:colOff>457200</xdr:colOff>
      <xdr:row>11</xdr:row>
      <xdr:rowOff>53340</xdr:rowOff>
    </xdr:to>
    <xdr:sp macro="" textlink="">
      <xdr:nvSpPr>
        <xdr:cNvPr id="22" name="Flowchart: Terminator 21">
          <a:extLst>
            <a:ext uri="{FF2B5EF4-FFF2-40B4-BE49-F238E27FC236}">
              <a16:creationId xmlns:a16="http://schemas.microsoft.com/office/drawing/2014/main" xmlns="" id="{BBAE507C-7230-4538-9562-6A8A4190DF1C}"/>
            </a:ext>
          </a:extLst>
        </xdr:cNvPr>
        <xdr:cNvSpPr/>
      </xdr:nvSpPr>
      <xdr:spPr>
        <a:xfrm>
          <a:off x="8572500" y="1569720"/>
          <a:ext cx="1257300" cy="365760"/>
        </a:xfrm>
        <a:prstGeom prst="flowChartTerminator">
          <a:avLst/>
        </a:prstGeom>
        <a:solidFill>
          <a:schemeClr val="accent6"/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/>
            <a:t>TIPCHECK</a:t>
          </a:r>
          <a:r>
            <a:rPr lang="en-GB" sz="1100"/>
            <a:t> </a:t>
          </a:r>
        </a:p>
      </xdr:txBody>
    </xdr:sp>
    <xdr:clientData/>
  </xdr:twoCellAnchor>
  <xdr:twoCellAnchor editAs="oneCell">
    <xdr:from>
      <xdr:col>16</xdr:col>
      <xdr:colOff>556260</xdr:colOff>
      <xdr:row>8</xdr:row>
      <xdr:rowOff>175260</xdr:rowOff>
    </xdr:from>
    <xdr:to>
      <xdr:col>18</xdr:col>
      <xdr:colOff>76200</xdr:colOff>
      <xdr:row>11</xdr:row>
      <xdr:rowOff>114300</xdr:rowOff>
    </xdr:to>
    <xdr:pic>
      <xdr:nvPicPr>
        <xdr:cNvPr id="23" name="Graphic 22" descr="Shar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xmlns="" id="{59A76423-4AD3-40DA-8998-872BFFD80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5"/>
            </a:ext>
          </a:extLst>
        </a:blip>
        <a:stretch>
          <a:fillRect/>
        </a:stretch>
      </xdr:blipFill>
      <xdr:spPr>
        <a:xfrm>
          <a:off x="9928860" y="1485900"/>
          <a:ext cx="510540" cy="510540"/>
        </a:xfrm>
        <a:prstGeom prst="rect">
          <a:avLst/>
        </a:prstGeom>
      </xdr:spPr>
    </xdr:pic>
    <xdr:clientData/>
  </xdr:twoCellAnchor>
  <xdr:twoCellAnchor>
    <xdr:from>
      <xdr:col>15</xdr:col>
      <xdr:colOff>45720</xdr:colOff>
      <xdr:row>0</xdr:row>
      <xdr:rowOff>99060</xdr:rowOff>
    </xdr:from>
    <xdr:to>
      <xdr:col>16</xdr:col>
      <xdr:colOff>137160</xdr:colOff>
      <xdr:row>1</xdr:row>
      <xdr:rowOff>129540</xdr:rowOff>
    </xdr:to>
    <xdr:sp macro="" textlink="">
      <xdr:nvSpPr>
        <xdr:cNvPr id="24" name="Flowchart: Terminator 23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xmlns="" id="{B797FC5A-F410-4956-BF80-9CC531CC7B93}"/>
            </a:ext>
          </a:extLst>
        </xdr:cNvPr>
        <xdr:cNvSpPr/>
      </xdr:nvSpPr>
      <xdr:spPr>
        <a:xfrm>
          <a:off x="8816340" y="99060"/>
          <a:ext cx="693420" cy="220980"/>
        </a:xfrm>
        <a:prstGeom prst="flowChartTerminator">
          <a:avLst/>
        </a:prstGeom>
        <a:noFill/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 b="1"/>
            <a:t>back   </a:t>
          </a:r>
        </a:p>
      </xdr:txBody>
    </xdr:sp>
    <xdr:clientData/>
  </xdr:twoCellAnchor>
  <xdr:twoCellAnchor>
    <xdr:from>
      <xdr:col>14</xdr:col>
      <xdr:colOff>739140</xdr:colOff>
      <xdr:row>18</xdr:row>
      <xdr:rowOff>68580</xdr:rowOff>
    </xdr:from>
    <xdr:to>
      <xdr:col>15</xdr:col>
      <xdr:colOff>85205</xdr:colOff>
      <xdr:row>18</xdr:row>
      <xdr:rowOff>76200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xmlns="" id="{2259CEAC-0854-49A4-8022-CF96E48B62F0}"/>
            </a:ext>
          </a:extLst>
        </xdr:cNvPr>
        <xdr:cNvCxnSpPr/>
      </xdr:nvCxnSpPr>
      <xdr:spPr>
        <a:xfrm flipV="1">
          <a:off x="8755380" y="3284220"/>
          <a:ext cx="199505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762000</xdr:colOff>
      <xdr:row>19</xdr:row>
      <xdr:rowOff>121920</xdr:rowOff>
    </xdr:from>
    <xdr:to>
      <xdr:col>15</xdr:col>
      <xdr:colOff>108065</xdr:colOff>
      <xdr:row>19</xdr:row>
      <xdr:rowOff>129540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81094773-6F6B-4929-A7B9-B1DBDC124B77}"/>
            </a:ext>
          </a:extLst>
        </xdr:cNvPr>
        <xdr:cNvCxnSpPr/>
      </xdr:nvCxnSpPr>
      <xdr:spPr>
        <a:xfrm flipV="1">
          <a:off x="8778240" y="3528060"/>
          <a:ext cx="199505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68580</xdr:colOff>
      <xdr:row>25</xdr:row>
      <xdr:rowOff>182880</xdr:rowOff>
    </xdr:from>
    <xdr:to>
      <xdr:col>18</xdr:col>
      <xdr:colOff>7620</xdr:colOff>
      <xdr:row>27</xdr:row>
      <xdr:rowOff>160018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E859AF4F-127A-4106-B0D2-E8050AFC76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043160" y="4732020"/>
          <a:ext cx="327660" cy="3428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350520</xdr:colOff>
      <xdr:row>6</xdr:row>
      <xdr:rowOff>68581</xdr:rowOff>
    </xdr:from>
    <xdr:to>
      <xdr:col>2</xdr:col>
      <xdr:colOff>388620</xdr:colOff>
      <xdr:row>8</xdr:row>
      <xdr:rowOff>144781</xdr:rowOff>
    </xdr:to>
    <xdr:pic>
      <xdr:nvPicPr>
        <xdr:cNvPr id="5" name="Pictur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87BFB589-E1C8-4678-BD27-66410A8ED6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/>
        <a:srcRect t="4629"/>
        <a:stretch/>
      </xdr:blipFill>
      <xdr:spPr>
        <a:xfrm>
          <a:off x="708660" y="998221"/>
          <a:ext cx="396240" cy="44196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68580</xdr:rowOff>
    </xdr:from>
    <xdr:to>
      <xdr:col>3</xdr:col>
      <xdr:colOff>350520</xdr:colOff>
      <xdr:row>2</xdr:row>
      <xdr:rowOff>0</xdr:rowOff>
    </xdr:to>
    <xdr:sp macro="" textlink="">
      <xdr:nvSpPr>
        <xdr:cNvPr id="6" name="Rectangle: Top Corners One Rounded and One Snipped 5">
          <a:extLst>
            <a:ext uri="{FF2B5EF4-FFF2-40B4-BE49-F238E27FC236}">
              <a16:creationId xmlns:a16="http://schemas.microsoft.com/office/drawing/2014/main" xmlns="" id="{4980428B-3A76-4564-84B7-C83A6214E48B}"/>
            </a:ext>
          </a:extLst>
        </xdr:cNvPr>
        <xdr:cNvSpPr/>
      </xdr:nvSpPr>
      <xdr:spPr>
        <a:xfrm>
          <a:off x="358140" y="68580"/>
          <a:ext cx="1600200" cy="312420"/>
        </a:xfrm>
        <a:prstGeom prst="snipRoundRect">
          <a:avLst/>
        </a:prstGeom>
        <a:solidFill>
          <a:schemeClr val="accent1">
            <a:lumMod val="60000"/>
            <a:lumOff val="40000"/>
          </a:schemeClr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Uninsulated</a:t>
          </a:r>
          <a:r>
            <a:rPr lang="en-GB" sz="110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 pipe</a:t>
          </a:r>
          <a:endParaRPr lang="en-GB" sz="11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518360</xdr:colOff>
      <xdr:row>24</xdr:row>
      <xdr:rowOff>60960</xdr:rowOff>
    </xdr:from>
    <xdr:to>
      <xdr:col>10</xdr:col>
      <xdr:colOff>466182</xdr:colOff>
      <xdr:row>26</xdr:row>
      <xdr:rowOff>45720</xdr:rowOff>
    </xdr:to>
    <xdr:sp macro="" textlink="">
      <xdr:nvSpPr>
        <xdr:cNvPr id="7" name="Flowchart: Terminator 6">
          <a:extLst>
            <a:ext uri="{FF2B5EF4-FFF2-40B4-BE49-F238E27FC236}">
              <a16:creationId xmlns:a16="http://schemas.microsoft.com/office/drawing/2014/main" xmlns="" id="{4D1E5D85-D3FE-41AC-9FCE-221A332C2B26}"/>
            </a:ext>
          </a:extLst>
        </xdr:cNvPr>
        <xdr:cNvSpPr/>
      </xdr:nvSpPr>
      <xdr:spPr>
        <a:xfrm>
          <a:off x="4282640" y="4419600"/>
          <a:ext cx="1753762" cy="365760"/>
        </a:xfrm>
        <a:prstGeom prst="flowChartTerminator">
          <a:avLst/>
        </a:prstGeom>
        <a:solidFill>
          <a:schemeClr val="accent1">
            <a:lumMod val="60000"/>
            <a:lumOff val="4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/>
            <a:t>Comments</a:t>
          </a:r>
          <a:r>
            <a:rPr lang="en-GB" sz="1100"/>
            <a:t> </a:t>
          </a:r>
        </a:p>
      </xdr:txBody>
    </xdr:sp>
    <xdr:clientData/>
  </xdr:twoCellAnchor>
  <xdr:twoCellAnchor>
    <xdr:from>
      <xdr:col>7</xdr:col>
      <xdr:colOff>532364</xdr:colOff>
      <xdr:row>21</xdr:row>
      <xdr:rowOff>76200</xdr:rowOff>
    </xdr:from>
    <xdr:to>
      <xdr:col>10</xdr:col>
      <xdr:colOff>487680</xdr:colOff>
      <xdr:row>23</xdr:row>
      <xdr:rowOff>76200</xdr:rowOff>
    </xdr:to>
    <xdr:sp macro="" textlink="">
      <xdr:nvSpPr>
        <xdr:cNvPr id="8" name="Flowchart: Terminator 7">
          <a:extLst>
            <a:ext uri="{FF2B5EF4-FFF2-40B4-BE49-F238E27FC236}">
              <a16:creationId xmlns:a16="http://schemas.microsoft.com/office/drawing/2014/main" xmlns="" id="{1418857C-87EF-43F1-80BB-19734818832D}"/>
            </a:ext>
          </a:extLst>
        </xdr:cNvPr>
        <xdr:cNvSpPr/>
      </xdr:nvSpPr>
      <xdr:spPr>
        <a:xfrm>
          <a:off x="4296644" y="3863340"/>
          <a:ext cx="1761256" cy="381000"/>
        </a:xfrm>
        <a:prstGeom prst="flowChartTerminator">
          <a:avLst/>
        </a:prstGeom>
        <a:solidFill>
          <a:schemeClr val="accent1">
            <a:lumMod val="60000"/>
            <a:lumOff val="4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/>
            <a:t>Space issue</a:t>
          </a:r>
          <a:endParaRPr lang="en-GB" sz="1100"/>
        </a:p>
      </xdr:txBody>
    </xdr:sp>
    <xdr:clientData/>
  </xdr:twoCellAnchor>
  <xdr:twoCellAnchor>
    <xdr:from>
      <xdr:col>7</xdr:col>
      <xdr:colOff>533400</xdr:colOff>
      <xdr:row>18</xdr:row>
      <xdr:rowOff>144780</xdr:rowOff>
    </xdr:from>
    <xdr:to>
      <xdr:col>10</xdr:col>
      <xdr:colOff>436253</xdr:colOff>
      <xdr:row>20</xdr:row>
      <xdr:rowOff>137160</xdr:rowOff>
    </xdr:to>
    <xdr:sp macro="" textlink="">
      <xdr:nvSpPr>
        <xdr:cNvPr id="9" name="Flowchart: Terminator 8">
          <a:extLst>
            <a:ext uri="{FF2B5EF4-FFF2-40B4-BE49-F238E27FC236}">
              <a16:creationId xmlns:a16="http://schemas.microsoft.com/office/drawing/2014/main" xmlns="" id="{E9141BD7-7234-4677-9635-0C6136756CA3}"/>
            </a:ext>
          </a:extLst>
        </xdr:cNvPr>
        <xdr:cNvSpPr/>
      </xdr:nvSpPr>
      <xdr:spPr>
        <a:xfrm>
          <a:off x="4297680" y="3360420"/>
          <a:ext cx="1708793" cy="373380"/>
        </a:xfrm>
        <a:prstGeom prst="flowChartTerminator">
          <a:avLst/>
        </a:prstGeom>
        <a:solidFill>
          <a:schemeClr val="accent1">
            <a:lumMod val="60000"/>
            <a:lumOff val="4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/>
            <a:t>Operational</a:t>
          </a:r>
          <a:r>
            <a:rPr lang="en-GB" sz="1600" baseline="0"/>
            <a:t> </a:t>
          </a:r>
          <a:r>
            <a:rPr lang="en-GB" sz="1600"/>
            <a:t> risk </a:t>
          </a:r>
          <a:r>
            <a:rPr lang="en-GB" sz="1100"/>
            <a:t> </a:t>
          </a:r>
        </a:p>
      </xdr:txBody>
    </xdr:sp>
    <xdr:clientData/>
  </xdr:twoCellAnchor>
  <xdr:twoCellAnchor>
    <xdr:from>
      <xdr:col>7</xdr:col>
      <xdr:colOff>563880</xdr:colOff>
      <xdr:row>16</xdr:row>
      <xdr:rowOff>7620</xdr:rowOff>
    </xdr:from>
    <xdr:to>
      <xdr:col>10</xdr:col>
      <xdr:colOff>466733</xdr:colOff>
      <xdr:row>18</xdr:row>
      <xdr:rowOff>0</xdr:rowOff>
    </xdr:to>
    <xdr:sp macro="" textlink="">
      <xdr:nvSpPr>
        <xdr:cNvPr id="10" name="Flowchart: Terminator 9">
          <a:extLst>
            <a:ext uri="{FF2B5EF4-FFF2-40B4-BE49-F238E27FC236}">
              <a16:creationId xmlns:a16="http://schemas.microsoft.com/office/drawing/2014/main" xmlns="" id="{6C58C140-A0C0-41CD-9F05-F3F64CAD24D5}"/>
            </a:ext>
          </a:extLst>
        </xdr:cNvPr>
        <xdr:cNvSpPr/>
      </xdr:nvSpPr>
      <xdr:spPr>
        <a:xfrm>
          <a:off x="4328160" y="2842260"/>
          <a:ext cx="1708793" cy="373380"/>
        </a:xfrm>
        <a:prstGeom prst="flowChartTerminator">
          <a:avLst/>
        </a:prstGeom>
        <a:solidFill>
          <a:schemeClr val="accent1">
            <a:lumMod val="60000"/>
            <a:lumOff val="4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/>
            <a:t>Safety risk </a:t>
          </a:r>
          <a:r>
            <a:rPr lang="en-GB" sz="1100"/>
            <a:t> </a:t>
          </a:r>
        </a:p>
      </xdr:txBody>
    </xdr:sp>
    <xdr:clientData/>
  </xdr:twoCellAnchor>
  <xdr:twoCellAnchor editAs="oneCell">
    <xdr:from>
      <xdr:col>2</xdr:col>
      <xdr:colOff>556260</xdr:colOff>
      <xdr:row>6</xdr:row>
      <xdr:rowOff>53340</xdr:rowOff>
    </xdr:from>
    <xdr:to>
      <xdr:col>3</xdr:col>
      <xdr:colOff>106680</xdr:colOff>
      <xdr:row>8</xdr:row>
      <xdr:rowOff>144780</xdr:rowOff>
    </xdr:to>
    <xdr:pic>
      <xdr:nvPicPr>
        <xdr:cNvPr id="11" name="Graphic 10" descr="Open Folder">
          <a:extLst>
            <a:ext uri="{FF2B5EF4-FFF2-40B4-BE49-F238E27FC236}">
              <a16:creationId xmlns:a16="http://schemas.microsoft.com/office/drawing/2014/main" xmlns="" id="{2DC7768C-45B9-41A4-AEB1-143590209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5"/>
            </a:ext>
          </a:extLst>
        </a:blip>
        <a:stretch>
          <a:fillRect/>
        </a:stretch>
      </xdr:blipFill>
      <xdr:spPr>
        <a:xfrm>
          <a:off x="1272540" y="982980"/>
          <a:ext cx="441960" cy="457200"/>
        </a:xfrm>
        <a:prstGeom prst="rect">
          <a:avLst/>
        </a:prstGeom>
      </xdr:spPr>
    </xdr:pic>
    <xdr:clientData/>
  </xdr:twoCellAnchor>
  <xdr:twoCellAnchor>
    <xdr:from>
      <xdr:col>16</xdr:col>
      <xdr:colOff>312420</xdr:colOff>
      <xdr:row>0</xdr:row>
      <xdr:rowOff>99060</xdr:rowOff>
    </xdr:from>
    <xdr:to>
      <xdr:col>18</xdr:col>
      <xdr:colOff>7620</xdr:colOff>
      <xdr:row>1</xdr:row>
      <xdr:rowOff>121920</xdr:rowOff>
    </xdr:to>
    <xdr:sp macro="" textlink="">
      <xdr:nvSpPr>
        <xdr:cNvPr id="12" name="Flowchart: Terminator 1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xmlns="" id="{B9CFA6F7-4758-47AF-B737-DC08D3BD4BD0}"/>
            </a:ext>
          </a:extLst>
        </xdr:cNvPr>
        <xdr:cNvSpPr/>
      </xdr:nvSpPr>
      <xdr:spPr>
        <a:xfrm>
          <a:off x="9685020" y="99060"/>
          <a:ext cx="685800" cy="213360"/>
        </a:xfrm>
        <a:prstGeom prst="flowChartTerminator">
          <a:avLst/>
        </a:prstGeom>
        <a:solidFill>
          <a:schemeClr val="accent6">
            <a:lumMod val="5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 b="1"/>
            <a:t>End </a:t>
          </a:r>
        </a:p>
      </xdr:txBody>
    </xdr:sp>
    <xdr:clientData/>
  </xdr:twoCellAnchor>
  <xdr:twoCellAnchor editAs="oneCell">
    <xdr:from>
      <xdr:col>13</xdr:col>
      <xdr:colOff>182886</xdr:colOff>
      <xdr:row>36</xdr:row>
      <xdr:rowOff>45721</xdr:rowOff>
    </xdr:from>
    <xdr:to>
      <xdr:col>13</xdr:col>
      <xdr:colOff>419105</xdr:colOff>
      <xdr:row>42</xdr:row>
      <xdr:rowOff>533401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B286EDE0-C8C1-43CD-9559-D29E1C0F35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b="26107"/>
        <a:stretch/>
      </xdr:blipFill>
      <xdr:spPr>
        <a:xfrm rot="16200000">
          <a:off x="6922776" y="7311391"/>
          <a:ext cx="1584960" cy="236219"/>
        </a:xfrm>
        <a:prstGeom prst="rect">
          <a:avLst/>
        </a:prstGeom>
      </xdr:spPr>
    </xdr:pic>
    <xdr:clientData/>
  </xdr:twoCellAnchor>
  <xdr:twoCellAnchor editAs="oneCell">
    <xdr:from>
      <xdr:col>14</xdr:col>
      <xdr:colOff>364497</xdr:colOff>
      <xdr:row>38</xdr:row>
      <xdr:rowOff>69853</xdr:rowOff>
    </xdr:from>
    <xdr:to>
      <xdr:col>14</xdr:col>
      <xdr:colOff>539756</xdr:colOff>
      <xdr:row>42</xdr:row>
      <xdr:rowOff>783589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6EC8DE78-5A82-4D21-BDD1-ED84A3617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16200000">
          <a:off x="7745739" y="7661911"/>
          <a:ext cx="1445256" cy="175259"/>
        </a:xfrm>
        <a:prstGeom prst="rect">
          <a:avLst/>
        </a:prstGeom>
      </xdr:spPr>
    </xdr:pic>
    <xdr:clientData/>
  </xdr:twoCellAnchor>
  <xdr:twoCellAnchor editAs="oneCell">
    <xdr:from>
      <xdr:col>16</xdr:col>
      <xdr:colOff>101809</xdr:colOff>
      <xdr:row>34</xdr:row>
      <xdr:rowOff>73451</xdr:rowOff>
    </xdr:from>
    <xdr:to>
      <xdr:col>16</xdr:col>
      <xdr:colOff>498048</xdr:colOff>
      <xdr:row>42</xdr:row>
      <xdr:rowOff>269448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BCE93F56-8417-4E21-8A3A-C40BDA7467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4333" t="38094" r="77667"/>
        <a:stretch/>
      </xdr:blipFill>
      <xdr:spPr>
        <a:xfrm rot="16200000">
          <a:off x="8843010" y="6930390"/>
          <a:ext cx="1659037" cy="396239"/>
        </a:xfrm>
        <a:prstGeom prst="rect">
          <a:avLst/>
        </a:prstGeom>
      </xdr:spPr>
    </xdr:pic>
    <xdr:clientData/>
  </xdr:twoCellAnchor>
  <xdr:twoCellAnchor editAs="oneCell">
    <xdr:from>
      <xdr:col>22</xdr:col>
      <xdr:colOff>182880</xdr:colOff>
      <xdr:row>39</xdr:row>
      <xdr:rowOff>106680</xdr:rowOff>
    </xdr:from>
    <xdr:to>
      <xdr:col>22</xdr:col>
      <xdr:colOff>470439</xdr:colOff>
      <xdr:row>41</xdr:row>
      <xdr:rowOff>144780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4D69348A-5565-4245-9B84-CAE890E42F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/>
        <a:srcRect l="11597" r="32278"/>
        <a:stretch/>
      </xdr:blipFill>
      <xdr:spPr>
        <a:xfrm>
          <a:off x="12534900" y="7246620"/>
          <a:ext cx="287559" cy="403860"/>
        </a:xfrm>
        <a:prstGeom prst="rect">
          <a:avLst/>
        </a:prstGeom>
      </xdr:spPr>
    </xdr:pic>
    <xdr:clientData/>
  </xdr:twoCellAnchor>
  <xdr:twoCellAnchor editAs="oneCell">
    <xdr:from>
      <xdr:col>16</xdr:col>
      <xdr:colOff>556260</xdr:colOff>
      <xdr:row>9</xdr:row>
      <xdr:rowOff>38100</xdr:rowOff>
    </xdr:from>
    <xdr:to>
      <xdr:col>18</xdr:col>
      <xdr:colOff>76200</xdr:colOff>
      <xdr:row>11</xdr:row>
      <xdr:rowOff>167640</xdr:rowOff>
    </xdr:to>
    <xdr:pic>
      <xdr:nvPicPr>
        <xdr:cNvPr id="20" name="Graphic 19" descr="Shar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xmlns="" id="{1B935974-D2AF-4658-91AE-AF139D480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3"/>
            </a:ext>
          </a:extLst>
        </a:blip>
        <a:stretch>
          <a:fillRect/>
        </a:stretch>
      </xdr:blipFill>
      <xdr:spPr>
        <a:xfrm>
          <a:off x="9928860" y="1539240"/>
          <a:ext cx="510540" cy="510540"/>
        </a:xfrm>
        <a:prstGeom prst="rect">
          <a:avLst/>
        </a:prstGeom>
      </xdr:spPr>
    </xdr:pic>
    <xdr:clientData/>
  </xdr:twoCellAnchor>
  <xdr:twoCellAnchor>
    <xdr:from>
      <xdr:col>15</xdr:col>
      <xdr:colOff>121920</xdr:colOff>
      <xdr:row>0</xdr:row>
      <xdr:rowOff>91440</xdr:rowOff>
    </xdr:from>
    <xdr:to>
      <xdr:col>16</xdr:col>
      <xdr:colOff>213360</xdr:colOff>
      <xdr:row>1</xdr:row>
      <xdr:rowOff>121920</xdr:rowOff>
    </xdr:to>
    <xdr:sp macro="" textlink="">
      <xdr:nvSpPr>
        <xdr:cNvPr id="22" name="Flowchart: Terminator 21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xmlns="" id="{B8BBEB1A-A4AE-45ED-9432-350E556A9122}"/>
            </a:ext>
          </a:extLst>
        </xdr:cNvPr>
        <xdr:cNvSpPr/>
      </xdr:nvSpPr>
      <xdr:spPr>
        <a:xfrm>
          <a:off x="8892540" y="91440"/>
          <a:ext cx="693420" cy="220980"/>
        </a:xfrm>
        <a:prstGeom prst="flowChartTerminator">
          <a:avLst/>
        </a:prstGeom>
        <a:noFill/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 b="1"/>
            <a:t>back   </a:t>
          </a:r>
        </a:p>
      </xdr:txBody>
    </xdr:sp>
    <xdr:clientData/>
  </xdr:twoCellAnchor>
  <xdr:twoCellAnchor>
    <xdr:from>
      <xdr:col>14</xdr:col>
      <xdr:colOff>556260</xdr:colOff>
      <xdr:row>9</xdr:row>
      <xdr:rowOff>129540</xdr:rowOff>
    </xdr:from>
    <xdr:to>
      <xdr:col>16</xdr:col>
      <xdr:colOff>457200</xdr:colOff>
      <xdr:row>11</xdr:row>
      <xdr:rowOff>114300</xdr:rowOff>
    </xdr:to>
    <xdr:sp macro="" textlink="">
      <xdr:nvSpPr>
        <xdr:cNvPr id="23" name="Flowchart: Terminator 22">
          <a:extLst>
            <a:ext uri="{FF2B5EF4-FFF2-40B4-BE49-F238E27FC236}">
              <a16:creationId xmlns:a16="http://schemas.microsoft.com/office/drawing/2014/main" xmlns="" id="{88D714DF-1839-48FA-A3D9-466380AF60AE}"/>
            </a:ext>
          </a:extLst>
        </xdr:cNvPr>
        <xdr:cNvSpPr/>
      </xdr:nvSpPr>
      <xdr:spPr>
        <a:xfrm>
          <a:off x="8572500" y="1630680"/>
          <a:ext cx="1257300" cy="365760"/>
        </a:xfrm>
        <a:prstGeom prst="flowChartTerminator">
          <a:avLst/>
        </a:prstGeom>
        <a:solidFill>
          <a:schemeClr val="accent6"/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/>
            <a:t>TIPCHECK</a:t>
          </a:r>
          <a:r>
            <a:rPr lang="en-GB" sz="1100"/>
            <a:t> </a:t>
          </a:r>
        </a:p>
      </xdr:txBody>
    </xdr:sp>
    <xdr:clientData/>
  </xdr:twoCellAnchor>
  <xdr:twoCellAnchor editAs="oneCell">
    <xdr:from>
      <xdr:col>4</xdr:col>
      <xdr:colOff>53340</xdr:colOff>
      <xdr:row>24</xdr:row>
      <xdr:rowOff>7620</xdr:rowOff>
    </xdr:from>
    <xdr:to>
      <xdr:col>4</xdr:col>
      <xdr:colOff>327660</xdr:colOff>
      <xdr:row>25</xdr:row>
      <xdr:rowOff>180880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xmlns="" id="{E55180C3-969F-4B51-886F-129040AF5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2263140" y="4366260"/>
          <a:ext cx="274320" cy="363760"/>
        </a:xfrm>
        <a:prstGeom prst="rect">
          <a:avLst/>
        </a:prstGeom>
      </xdr:spPr>
    </xdr:pic>
    <xdr:clientData/>
  </xdr:twoCellAnchor>
  <xdr:twoCellAnchor>
    <xdr:from>
      <xdr:col>14</xdr:col>
      <xdr:colOff>739140</xdr:colOff>
      <xdr:row>18</xdr:row>
      <xdr:rowOff>68580</xdr:rowOff>
    </xdr:from>
    <xdr:to>
      <xdr:col>15</xdr:col>
      <xdr:colOff>85205</xdr:colOff>
      <xdr:row>18</xdr:row>
      <xdr:rowOff>76200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xmlns="" id="{9162D95B-8718-462E-92CB-3BE7C04EF0B0}"/>
            </a:ext>
          </a:extLst>
        </xdr:cNvPr>
        <xdr:cNvCxnSpPr/>
      </xdr:nvCxnSpPr>
      <xdr:spPr>
        <a:xfrm flipV="1">
          <a:off x="8755380" y="3284220"/>
          <a:ext cx="199505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762000</xdr:colOff>
      <xdr:row>19</xdr:row>
      <xdr:rowOff>121920</xdr:rowOff>
    </xdr:from>
    <xdr:to>
      <xdr:col>15</xdr:col>
      <xdr:colOff>108065</xdr:colOff>
      <xdr:row>19</xdr:row>
      <xdr:rowOff>129540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xmlns="" id="{97040B58-34DD-4CA7-9F5E-A36123B47296}"/>
            </a:ext>
          </a:extLst>
        </xdr:cNvPr>
        <xdr:cNvCxnSpPr/>
      </xdr:nvCxnSpPr>
      <xdr:spPr>
        <a:xfrm flipV="1">
          <a:off x="8778240" y="3528060"/>
          <a:ext cx="199505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76200</xdr:rowOff>
    </xdr:from>
    <xdr:to>
      <xdr:col>10</xdr:col>
      <xdr:colOff>106680</xdr:colOff>
      <xdr:row>3</xdr:row>
      <xdr:rowOff>83820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88924030-C195-444E-954E-535F4A6C0A27}"/>
            </a:ext>
          </a:extLst>
        </xdr:cNvPr>
        <xdr:cNvSpPr/>
      </xdr:nvSpPr>
      <xdr:spPr>
        <a:xfrm>
          <a:off x="114300" y="274320"/>
          <a:ext cx="2545080" cy="3352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160020</xdr:colOff>
      <xdr:row>1</xdr:row>
      <xdr:rowOff>76200</xdr:rowOff>
    </xdr:from>
    <xdr:to>
      <xdr:col>18</xdr:col>
      <xdr:colOff>144780</xdr:colOff>
      <xdr:row>3</xdr:row>
      <xdr:rowOff>83820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99AD5409-5879-4A3E-98FA-7D6381967D90}"/>
            </a:ext>
          </a:extLst>
        </xdr:cNvPr>
        <xdr:cNvSpPr/>
      </xdr:nvSpPr>
      <xdr:spPr>
        <a:xfrm>
          <a:off x="2712720" y="274320"/>
          <a:ext cx="2065020" cy="3352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213360</xdr:colOff>
      <xdr:row>1</xdr:row>
      <xdr:rowOff>76200</xdr:rowOff>
    </xdr:from>
    <xdr:to>
      <xdr:col>28</xdr:col>
      <xdr:colOff>45720</xdr:colOff>
      <xdr:row>3</xdr:row>
      <xdr:rowOff>83820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xmlns="" id="{81BA80B3-A38B-4654-9224-A88CEBFD3E69}"/>
            </a:ext>
          </a:extLst>
        </xdr:cNvPr>
        <xdr:cNvSpPr/>
      </xdr:nvSpPr>
      <xdr:spPr>
        <a:xfrm>
          <a:off x="4846320" y="274320"/>
          <a:ext cx="2567940" cy="3352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29</xdr:col>
      <xdr:colOff>327660</xdr:colOff>
      <xdr:row>1</xdr:row>
      <xdr:rowOff>68580</xdr:rowOff>
    </xdr:from>
    <xdr:to>
      <xdr:col>39</xdr:col>
      <xdr:colOff>137160</xdr:colOff>
      <xdr:row>3</xdr:row>
      <xdr:rowOff>76200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xmlns="" id="{67B089FA-230E-4A76-B071-0DC52E00BA5D}"/>
            </a:ext>
          </a:extLst>
        </xdr:cNvPr>
        <xdr:cNvSpPr/>
      </xdr:nvSpPr>
      <xdr:spPr>
        <a:xfrm>
          <a:off x="7917180" y="266700"/>
          <a:ext cx="2941320" cy="3352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40</xdr:col>
      <xdr:colOff>129540</xdr:colOff>
      <xdr:row>1</xdr:row>
      <xdr:rowOff>76200</xdr:rowOff>
    </xdr:from>
    <xdr:to>
      <xdr:col>47</xdr:col>
      <xdr:colOff>236220</xdr:colOff>
      <xdr:row>3</xdr:row>
      <xdr:rowOff>83820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xmlns="" id="{106E10A7-6CC1-4EED-958A-21E8F66180BC}"/>
            </a:ext>
          </a:extLst>
        </xdr:cNvPr>
        <xdr:cNvSpPr/>
      </xdr:nvSpPr>
      <xdr:spPr>
        <a:xfrm>
          <a:off x="11247120" y="274320"/>
          <a:ext cx="2057400" cy="3352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458728</xdr:colOff>
      <xdr:row>39</xdr:row>
      <xdr:rowOff>23453</xdr:rowOff>
    </xdr:from>
    <xdr:to>
      <xdr:col>26</xdr:col>
      <xdr:colOff>198110</xdr:colOff>
      <xdr:row>42</xdr:row>
      <xdr:rowOff>121144</xdr:rowOff>
    </xdr:to>
    <xdr:sp macro="" textlink="">
      <xdr:nvSpPr>
        <xdr:cNvPr id="2" name="TextBox 22">
          <a:extLst>
            <a:ext uri="{FF2B5EF4-FFF2-40B4-BE49-F238E27FC236}">
              <a16:creationId xmlns:a16="http://schemas.microsoft.com/office/drawing/2014/main" xmlns="" id="{E8E2DDCA-E72D-4897-8750-B2D6CCEE8878}"/>
            </a:ext>
          </a:extLst>
        </xdr:cNvPr>
        <xdr:cNvSpPr txBox="1"/>
      </xdr:nvSpPr>
      <xdr:spPr>
        <a:xfrm>
          <a:off x="14319508" y="7163393"/>
          <a:ext cx="1568182" cy="64633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b="1">
              <a:solidFill>
                <a:schemeClr val="bg1"/>
              </a:solidFill>
            </a:rPr>
            <a:t>DAMAGE INSULATION </a:t>
          </a:r>
        </a:p>
      </xdr:txBody>
    </xdr:sp>
    <xdr:clientData/>
  </xdr:twoCellAnchor>
  <xdr:twoCellAnchor>
    <xdr:from>
      <xdr:col>23</xdr:col>
      <xdr:colOff>458728</xdr:colOff>
      <xdr:row>39</xdr:row>
      <xdr:rowOff>23453</xdr:rowOff>
    </xdr:from>
    <xdr:to>
      <xdr:col>26</xdr:col>
      <xdr:colOff>198110</xdr:colOff>
      <xdr:row>42</xdr:row>
      <xdr:rowOff>121144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xmlns="" id="{6692AE3A-8332-4AC2-B581-50384B098EBA}"/>
            </a:ext>
          </a:extLst>
        </xdr:cNvPr>
        <xdr:cNvSpPr txBox="1"/>
      </xdr:nvSpPr>
      <xdr:spPr>
        <a:xfrm>
          <a:off x="14319508" y="7163393"/>
          <a:ext cx="1568182" cy="64633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b="1">
              <a:solidFill>
                <a:schemeClr val="bg1"/>
              </a:solidFill>
            </a:rPr>
            <a:t>DAMAGE INSULATION </a:t>
          </a:r>
        </a:p>
      </xdr:txBody>
    </xdr:sp>
    <xdr:clientData/>
  </xdr:twoCellAnchor>
  <xdr:twoCellAnchor editAs="oneCell">
    <xdr:from>
      <xdr:col>1</xdr:col>
      <xdr:colOff>350520</xdr:colOff>
      <xdr:row>6</xdr:row>
      <xdr:rowOff>68581</xdr:rowOff>
    </xdr:from>
    <xdr:to>
      <xdr:col>2</xdr:col>
      <xdr:colOff>388620</xdr:colOff>
      <xdr:row>8</xdr:row>
      <xdr:rowOff>144781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37BE3D3E-DA92-4541-BF83-CE748C801B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/>
        <a:srcRect t="4629"/>
        <a:stretch/>
      </xdr:blipFill>
      <xdr:spPr>
        <a:xfrm>
          <a:off x="708660" y="998221"/>
          <a:ext cx="396240" cy="44196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76200</xdr:rowOff>
    </xdr:from>
    <xdr:to>
      <xdr:col>3</xdr:col>
      <xdr:colOff>350520</xdr:colOff>
      <xdr:row>2</xdr:row>
      <xdr:rowOff>7620</xdr:rowOff>
    </xdr:to>
    <xdr:sp macro="" textlink="">
      <xdr:nvSpPr>
        <xdr:cNvPr id="5" name="Rectangle: Top Corners One Rounded and One Snipped 4">
          <a:extLst>
            <a:ext uri="{FF2B5EF4-FFF2-40B4-BE49-F238E27FC236}">
              <a16:creationId xmlns:a16="http://schemas.microsoft.com/office/drawing/2014/main" xmlns="" id="{329EED7A-8D28-4D2E-9BBE-4FA6A3C8B28E}"/>
            </a:ext>
          </a:extLst>
        </xdr:cNvPr>
        <xdr:cNvSpPr/>
      </xdr:nvSpPr>
      <xdr:spPr>
        <a:xfrm>
          <a:off x="358140" y="76200"/>
          <a:ext cx="1600200" cy="312420"/>
        </a:xfrm>
        <a:prstGeom prst="snipRoundRect">
          <a:avLst/>
        </a:prstGeom>
        <a:solidFill>
          <a:schemeClr val="accent1">
            <a:lumMod val="60000"/>
            <a:lumOff val="40000"/>
          </a:schemeClr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1100" b="1">
              <a:solidFill>
                <a:schemeClr val="lt1"/>
              </a:solidFill>
              <a:latin typeface="+mn-lt"/>
              <a:ea typeface="+mn-ea"/>
              <a:cs typeface="+mn-cs"/>
            </a:rPr>
            <a:t>Insulated Surface</a:t>
          </a:r>
        </a:p>
      </xdr:txBody>
    </xdr:sp>
    <xdr:clientData/>
  </xdr:twoCellAnchor>
  <xdr:twoCellAnchor editAs="oneCell">
    <xdr:from>
      <xdr:col>2</xdr:col>
      <xdr:colOff>556260</xdr:colOff>
      <xdr:row>6</xdr:row>
      <xdr:rowOff>53340</xdr:rowOff>
    </xdr:from>
    <xdr:to>
      <xdr:col>3</xdr:col>
      <xdr:colOff>106680</xdr:colOff>
      <xdr:row>8</xdr:row>
      <xdr:rowOff>144780</xdr:rowOff>
    </xdr:to>
    <xdr:pic>
      <xdr:nvPicPr>
        <xdr:cNvPr id="6" name="Graphic 5" descr="Open Folder">
          <a:extLst>
            <a:ext uri="{FF2B5EF4-FFF2-40B4-BE49-F238E27FC236}">
              <a16:creationId xmlns:a16="http://schemas.microsoft.com/office/drawing/2014/main" xmlns="" id="{4C8F73EC-9348-46B6-B298-29220A00B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1272540" y="982980"/>
          <a:ext cx="441960" cy="457200"/>
        </a:xfrm>
        <a:prstGeom prst="rect">
          <a:avLst/>
        </a:prstGeom>
      </xdr:spPr>
    </xdr:pic>
    <xdr:clientData/>
  </xdr:twoCellAnchor>
  <xdr:twoCellAnchor>
    <xdr:from>
      <xdr:col>16</xdr:col>
      <xdr:colOff>312420</xdr:colOff>
      <xdr:row>0</xdr:row>
      <xdr:rowOff>99060</xdr:rowOff>
    </xdr:from>
    <xdr:to>
      <xdr:col>18</xdr:col>
      <xdr:colOff>7620</xdr:colOff>
      <xdr:row>1</xdr:row>
      <xdr:rowOff>121920</xdr:rowOff>
    </xdr:to>
    <xdr:sp macro="" textlink="">
      <xdr:nvSpPr>
        <xdr:cNvPr id="7" name="Flowchart: Terminator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AD086ECA-4F96-4D6F-8BF3-ABC1E74C2CC4}"/>
            </a:ext>
          </a:extLst>
        </xdr:cNvPr>
        <xdr:cNvSpPr/>
      </xdr:nvSpPr>
      <xdr:spPr>
        <a:xfrm>
          <a:off x="10142220" y="99060"/>
          <a:ext cx="685800" cy="213360"/>
        </a:xfrm>
        <a:prstGeom prst="flowChartTerminator">
          <a:avLst/>
        </a:prstGeom>
        <a:solidFill>
          <a:schemeClr val="accent6">
            <a:lumMod val="5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 b="1"/>
            <a:t>End </a:t>
          </a:r>
        </a:p>
      </xdr:txBody>
    </xdr:sp>
    <xdr:clientData/>
  </xdr:twoCellAnchor>
  <xdr:twoCellAnchor>
    <xdr:from>
      <xdr:col>7</xdr:col>
      <xdr:colOff>533400</xdr:colOff>
      <xdr:row>24</xdr:row>
      <xdr:rowOff>45720</xdr:rowOff>
    </xdr:from>
    <xdr:to>
      <xdr:col>10</xdr:col>
      <xdr:colOff>481222</xdr:colOff>
      <xdr:row>26</xdr:row>
      <xdr:rowOff>30480</xdr:rowOff>
    </xdr:to>
    <xdr:sp macro="" textlink="">
      <xdr:nvSpPr>
        <xdr:cNvPr id="8" name="Flowchart: Terminator 7">
          <a:extLst>
            <a:ext uri="{FF2B5EF4-FFF2-40B4-BE49-F238E27FC236}">
              <a16:creationId xmlns:a16="http://schemas.microsoft.com/office/drawing/2014/main" xmlns="" id="{8080EA2A-D5D6-43E4-8B25-9306D4E104BC}"/>
            </a:ext>
          </a:extLst>
        </xdr:cNvPr>
        <xdr:cNvSpPr/>
      </xdr:nvSpPr>
      <xdr:spPr>
        <a:xfrm>
          <a:off x="4404360" y="4404360"/>
          <a:ext cx="1753762" cy="365760"/>
        </a:xfrm>
        <a:prstGeom prst="flowChartTerminator">
          <a:avLst/>
        </a:prstGeom>
        <a:solidFill>
          <a:schemeClr val="accent1">
            <a:lumMod val="60000"/>
            <a:lumOff val="4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/>
            <a:t>Comments</a:t>
          </a:r>
          <a:r>
            <a:rPr lang="en-GB" sz="1100"/>
            <a:t> </a:t>
          </a:r>
        </a:p>
      </xdr:txBody>
    </xdr:sp>
    <xdr:clientData/>
  </xdr:twoCellAnchor>
  <xdr:twoCellAnchor>
    <xdr:from>
      <xdr:col>7</xdr:col>
      <xdr:colOff>547404</xdr:colOff>
      <xdr:row>21</xdr:row>
      <xdr:rowOff>60960</xdr:rowOff>
    </xdr:from>
    <xdr:to>
      <xdr:col>10</xdr:col>
      <xdr:colOff>502720</xdr:colOff>
      <xdr:row>23</xdr:row>
      <xdr:rowOff>60960</xdr:rowOff>
    </xdr:to>
    <xdr:sp macro="" textlink="">
      <xdr:nvSpPr>
        <xdr:cNvPr id="9" name="Flowchart: Terminator 8">
          <a:extLst>
            <a:ext uri="{FF2B5EF4-FFF2-40B4-BE49-F238E27FC236}">
              <a16:creationId xmlns:a16="http://schemas.microsoft.com/office/drawing/2014/main" xmlns="" id="{C41C8279-46AB-4F28-AF69-44C2B1C6B442}"/>
            </a:ext>
          </a:extLst>
        </xdr:cNvPr>
        <xdr:cNvSpPr/>
      </xdr:nvSpPr>
      <xdr:spPr>
        <a:xfrm>
          <a:off x="4418364" y="3848100"/>
          <a:ext cx="1761256" cy="381000"/>
        </a:xfrm>
        <a:prstGeom prst="flowChartTerminator">
          <a:avLst/>
        </a:prstGeom>
        <a:solidFill>
          <a:schemeClr val="accent1">
            <a:lumMod val="60000"/>
            <a:lumOff val="4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/>
            <a:t>Space issue</a:t>
          </a:r>
          <a:endParaRPr lang="en-GB" sz="1100"/>
        </a:p>
      </xdr:txBody>
    </xdr:sp>
    <xdr:clientData/>
  </xdr:twoCellAnchor>
  <xdr:twoCellAnchor>
    <xdr:from>
      <xdr:col>7</xdr:col>
      <xdr:colOff>548440</xdr:colOff>
      <xdr:row>18</xdr:row>
      <xdr:rowOff>129540</xdr:rowOff>
    </xdr:from>
    <xdr:to>
      <xdr:col>10</xdr:col>
      <xdr:colOff>451293</xdr:colOff>
      <xdr:row>20</xdr:row>
      <xdr:rowOff>121920</xdr:rowOff>
    </xdr:to>
    <xdr:sp macro="" textlink="">
      <xdr:nvSpPr>
        <xdr:cNvPr id="10" name="Flowchart: Terminator 9">
          <a:extLst>
            <a:ext uri="{FF2B5EF4-FFF2-40B4-BE49-F238E27FC236}">
              <a16:creationId xmlns:a16="http://schemas.microsoft.com/office/drawing/2014/main" xmlns="" id="{E6B8E238-E3AE-417B-AF88-F29B6648C69C}"/>
            </a:ext>
          </a:extLst>
        </xdr:cNvPr>
        <xdr:cNvSpPr/>
      </xdr:nvSpPr>
      <xdr:spPr>
        <a:xfrm>
          <a:off x="4419400" y="3345180"/>
          <a:ext cx="1708793" cy="373380"/>
        </a:xfrm>
        <a:prstGeom prst="flowChartTerminator">
          <a:avLst/>
        </a:prstGeom>
        <a:solidFill>
          <a:schemeClr val="accent1">
            <a:lumMod val="60000"/>
            <a:lumOff val="4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/>
            <a:t>Operational</a:t>
          </a:r>
          <a:r>
            <a:rPr lang="en-GB" sz="1600" baseline="0"/>
            <a:t> </a:t>
          </a:r>
          <a:r>
            <a:rPr lang="en-GB" sz="1600"/>
            <a:t> risk </a:t>
          </a:r>
          <a:r>
            <a:rPr lang="en-GB" sz="1100"/>
            <a:t> </a:t>
          </a:r>
        </a:p>
      </xdr:txBody>
    </xdr:sp>
    <xdr:clientData/>
  </xdr:twoCellAnchor>
  <xdr:twoCellAnchor>
    <xdr:from>
      <xdr:col>7</xdr:col>
      <xdr:colOff>578920</xdr:colOff>
      <xdr:row>15</xdr:row>
      <xdr:rowOff>182880</xdr:rowOff>
    </xdr:from>
    <xdr:to>
      <xdr:col>10</xdr:col>
      <xdr:colOff>481773</xdr:colOff>
      <xdr:row>17</xdr:row>
      <xdr:rowOff>175260</xdr:rowOff>
    </xdr:to>
    <xdr:sp macro="" textlink="">
      <xdr:nvSpPr>
        <xdr:cNvPr id="11" name="Flowchart: Terminator 10">
          <a:extLst>
            <a:ext uri="{FF2B5EF4-FFF2-40B4-BE49-F238E27FC236}">
              <a16:creationId xmlns:a16="http://schemas.microsoft.com/office/drawing/2014/main" xmlns="" id="{46D1A655-BB52-4737-B56E-5411C78EEEEE}"/>
            </a:ext>
          </a:extLst>
        </xdr:cNvPr>
        <xdr:cNvSpPr/>
      </xdr:nvSpPr>
      <xdr:spPr>
        <a:xfrm>
          <a:off x="4449880" y="2827020"/>
          <a:ext cx="1708793" cy="373380"/>
        </a:xfrm>
        <a:prstGeom prst="flowChartTerminator">
          <a:avLst/>
        </a:prstGeom>
        <a:solidFill>
          <a:schemeClr val="accent1">
            <a:lumMod val="60000"/>
            <a:lumOff val="4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/>
            <a:t>Safety risk </a:t>
          </a:r>
          <a:r>
            <a:rPr lang="en-GB" sz="1100"/>
            <a:t> </a:t>
          </a:r>
        </a:p>
      </xdr:txBody>
    </xdr:sp>
    <xdr:clientData/>
  </xdr:twoCellAnchor>
  <xdr:twoCellAnchor editAs="oneCell">
    <xdr:from>
      <xdr:col>3</xdr:col>
      <xdr:colOff>518161</xdr:colOff>
      <xdr:row>12</xdr:row>
      <xdr:rowOff>22861</xdr:rowOff>
    </xdr:from>
    <xdr:to>
      <xdr:col>4</xdr:col>
      <xdr:colOff>263994</xdr:colOff>
      <xdr:row>14</xdr:row>
      <xdr:rowOff>22861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A5EE1E16-D7D2-484C-A647-8325A12206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125981" y="2095501"/>
          <a:ext cx="347813" cy="365760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571500</xdr:colOff>
      <xdr:row>24</xdr:row>
      <xdr:rowOff>22860</xdr:rowOff>
    </xdr:from>
    <xdr:to>
      <xdr:col>4</xdr:col>
      <xdr:colOff>259080</xdr:colOff>
      <xdr:row>26</xdr:row>
      <xdr:rowOff>20860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D212C87E-D267-4DD7-81BC-9BB01092C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2179320" y="4381500"/>
          <a:ext cx="289560" cy="363760"/>
        </a:xfrm>
        <a:prstGeom prst="rect">
          <a:avLst/>
        </a:prstGeom>
      </xdr:spPr>
    </xdr:pic>
    <xdr:clientData/>
  </xdr:twoCellAnchor>
  <xdr:twoCellAnchor editAs="oneCell">
    <xdr:from>
      <xdr:col>16</xdr:col>
      <xdr:colOff>60960</xdr:colOff>
      <xdr:row>24</xdr:row>
      <xdr:rowOff>7620</xdr:rowOff>
    </xdr:from>
    <xdr:to>
      <xdr:col>18</xdr:col>
      <xdr:colOff>199241</xdr:colOff>
      <xdr:row>27</xdr:row>
      <xdr:rowOff>150315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B5976701-D8EF-4CF5-AF08-B70BDFF78A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890760" y="4366260"/>
          <a:ext cx="1128881" cy="691335"/>
        </a:xfrm>
        <a:prstGeom prst="rect">
          <a:avLst/>
        </a:prstGeom>
      </xdr:spPr>
    </xdr:pic>
    <xdr:clientData/>
  </xdr:twoCellAnchor>
  <xdr:twoCellAnchor editAs="oneCell">
    <xdr:from>
      <xdr:col>10</xdr:col>
      <xdr:colOff>67250</xdr:colOff>
      <xdr:row>42</xdr:row>
      <xdr:rowOff>77533</xdr:rowOff>
    </xdr:from>
    <xdr:to>
      <xdr:col>10</xdr:col>
      <xdr:colOff>441963</xdr:colOff>
      <xdr:row>45</xdr:row>
      <xdr:rowOff>24192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8EE301FF-602C-430A-95BF-9A96D645A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16200000">
          <a:off x="5683857" y="7826406"/>
          <a:ext cx="495299" cy="374713"/>
        </a:xfrm>
        <a:prstGeom prst="rect">
          <a:avLst/>
        </a:prstGeom>
      </xdr:spPr>
    </xdr:pic>
    <xdr:clientData/>
  </xdr:twoCellAnchor>
  <xdr:twoCellAnchor editAs="oneCell">
    <xdr:from>
      <xdr:col>9</xdr:col>
      <xdr:colOff>133822</xdr:colOff>
      <xdr:row>41</xdr:row>
      <xdr:rowOff>0</xdr:rowOff>
    </xdr:from>
    <xdr:to>
      <xdr:col>9</xdr:col>
      <xdr:colOff>403861</xdr:colOff>
      <xdr:row>46</xdr:row>
      <xdr:rowOff>14286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4F031393-F6E4-4E50-AAAF-70FA24E7F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16200000">
          <a:off x="4879419" y="7835023"/>
          <a:ext cx="928686" cy="270039"/>
        </a:xfrm>
        <a:prstGeom prst="rect">
          <a:avLst/>
        </a:prstGeom>
      </xdr:spPr>
    </xdr:pic>
    <xdr:clientData/>
  </xdr:twoCellAnchor>
  <xdr:twoCellAnchor editAs="oneCell">
    <xdr:from>
      <xdr:col>12</xdr:col>
      <xdr:colOff>415345</xdr:colOff>
      <xdr:row>30</xdr:row>
      <xdr:rowOff>159222</xdr:rowOff>
    </xdr:from>
    <xdr:to>
      <xdr:col>12</xdr:col>
      <xdr:colOff>661035</xdr:colOff>
      <xdr:row>42</xdr:row>
      <xdr:rowOff>575310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493A1F2E-36BF-4BF5-8C1F-8FD5301DEF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t="5881" b="71395"/>
        <a:stretch/>
      </xdr:blipFill>
      <xdr:spPr>
        <a:xfrm rot="16200000">
          <a:off x="5984186" y="6835721"/>
          <a:ext cx="2610648" cy="245690"/>
        </a:xfrm>
        <a:prstGeom prst="rect">
          <a:avLst/>
        </a:prstGeom>
      </xdr:spPr>
    </xdr:pic>
    <xdr:clientData/>
  </xdr:twoCellAnchor>
  <xdr:twoCellAnchor editAs="oneCell">
    <xdr:from>
      <xdr:col>11</xdr:col>
      <xdr:colOff>110498</xdr:colOff>
      <xdr:row>39</xdr:row>
      <xdr:rowOff>7622</xdr:rowOff>
    </xdr:from>
    <xdr:to>
      <xdr:col>11</xdr:col>
      <xdr:colOff>269851</xdr:colOff>
      <xdr:row>45</xdr:row>
      <xdr:rowOff>106680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xmlns="" id="{82998B9A-DE41-4ADB-9B2E-E9C21E355D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l="13193" t="6336" r="42544" b="83935"/>
        <a:stretch/>
      </xdr:blipFill>
      <xdr:spPr>
        <a:xfrm rot="16200000">
          <a:off x="5870886" y="7666054"/>
          <a:ext cx="1196338" cy="159353"/>
        </a:xfrm>
        <a:prstGeom prst="rect">
          <a:avLst/>
        </a:prstGeom>
      </xdr:spPr>
    </xdr:pic>
    <xdr:clientData/>
  </xdr:twoCellAnchor>
  <xdr:twoCellAnchor>
    <xdr:from>
      <xdr:col>14</xdr:col>
      <xdr:colOff>556260</xdr:colOff>
      <xdr:row>9</xdr:row>
      <xdr:rowOff>68580</xdr:rowOff>
    </xdr:from>
    <xdr:to>
      <xdr:col>16</xdr:col>
      <xdr:colOff>457200</xdr:colOff>
      <xdr:row>11</xdr:row>
      <xdr:rowOff>53340</xdr:rowOff>
    </xdr:to>
    <xdr:sp macro="" textlink="">
      <xdr:nvSpPr>
        <xdr:cNvPr id="19" name="Flowchart: Terminator 18">
          <a:extLst>
            <a:ext uri="{FF2B5EF4-FFF2-40B4-BE49-F238E27FC236}">
              <a16:creationId xmlns:a16="http://schemas.microsoft.com/office/drawing/2014/main" xmlns="" id="{954BBB47-4FB9-4309-835E-193D29B1A368}"/>
            </a:ext>
          </a:extLst>
        </xdr:cNvPr>
        <xdr:cNvSpPr/>
      </xdr:nvSpPr>
      <xdr:spPr>
        <a:xfrm>
          <a:off x="8679180" y="1569720"/>
          <a:ext cx="1607820" cy="365760"/>
        </a:xfrm>
        <a:prstGeom prst="flowChartTerminator">
          <a:avLst/>
        </a:prstGeom>
        <a:solidFill>
          <a:schemeClr val="accent6"/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/>
            <a:t>TIPCHECK</a:t>
          </a:r>
          <a:r>
            <a:rPr lang="en-GB" sz="1100"/>
            <a:t> </a:t>
          </a:r>
        </a:p>
      </xdr:txBody>
    </xdr:sp>
    <xdr:clientData/>
  </xdr:twoCellAnchor>
  <xdr:twoCellAnchor editAs="oneCell">
    <xdr:from>
      <xdr:col>16</xdr:col>
      <xdr:colOff>556260</xdr:colOff>
      <xdr:row>8</xdr:row>
      <xdr:rowOff>175260</xdr:rowOff>
    </xdr:from>
    <xdr:to>
      <xdr:col>18</xdr:col>
      <xdr:colOff>76200</xdr:colOff>
      <xdr:row>11</xdr:row>
      <xdr:rowOff>137160</xdr:rowOff>
    </xdr:to>
    <xdr:pic>
      <xdr:nvPicPr>
        <xdr:cNvPr id="20" name="Graphic 19" descr="Shar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xmlns="" id="{31BFD339-60CB-4314-A943-FDA10E01F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5"/>
            </a:ext>
          </a:extLst>
        </a:blip>
        <a:stretch>
          <a:fillRect/>
        </a:stretch>
      </xdr:blipFill>
      <xdr:spPr>
        <a:xfrm>
          <a:off x="10386060" y="1485900"/>
          <a:ext cx="510540" cy="510540"/>
        </a:xfrm>
        <a:prstGeom prst="rect">
          <a:avLst/>
        </a:prstGeom>
      </xdr:spPr>
    </xdr:pic>
    <xdr:clientData/>
  </xdr:twoCellAnchor>
  <xdr:twoCellAnchor>
    <xdr:from>
      <xdr:col>15</xdr:col>
      <xdr:colOff>45720</xdr:colOff>
      <xdr:row>0</xdr:row>
      <xdr:rowOff>99060</xdr:rowOff>
    </xdr:from>
    <xdr:to>
      <xdr:col>16</xdr:col>
      <xdr:colOff>137160</xdr:colOff>
      <xdr:row>1</xdr:row>
      <xdr:rowOff>129540</xdr:rowOff>
    </xdr:to>
    <xdr:sp macro="" textlink="">
      <xdr:nvSpPr>
        <xdr:cNvPr id="21" name="Flowchart: Terminator 20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xmlns="" id="{C9FB5253-DE3F-4276-9F16-9D6C17C17B02}"/>
            </a:ext>
          </a:extLst>
        </xdr:cNvPr>
        <xdr:cNvSpPr/>
      </xdr:nvSpPr>
      <xdr:spPr>
        <a:xfrm>
          <a:off x="9022080" y="99060"/>
          <a:ext cx="944880" cy="220980"/>
        </a:xfrm>
        <a:prstGeom prst="flowChartTerminator">
          <a:avLst/>
        </a:prstGeom>
        <a:noFill/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 b="1"/>
            <a:t>back   </a:t>
          </a:r>
        </a:p>
      </xdr:txBody>
    </xdr:sp>
    <xdr:clientData/>
  </xdr:twoCellAnchor>
  <xdr:twoCellAnchor>
    <xdr:from>
      <xdr:col>14</xdr:col>
      <xdr:colOff>739140</xdr:colOff>
      <xdr:row>18</xdr:row>
      <xdr:rowOff>68580</xdr:rowOff>
    </xdr:from>
    <xdr:to>
      <xdr:col>15</xdr:col>
      <xdr:colOff>85205</xdr:colOff>
      <xdr:row>18</xdr:row>
      <xdr:rowOff>76200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xmlns="" id="{6A7908CA-F38C-4BD1-8C9E-69CDE4E5F202}"/>
            </a:ext>
          </a:extLst>
        </xdr:cNvPr>
        <xdr:cNvCxnSpPr/>
      </xdr:nvCxnSpPr>
      <xdr:spPr>
        <a:xfrm flipV="1">
          <a:off x="8862060" y="3284220"/>
          <a:ext cx="199505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762000</xdr:colOff>
      <xdr:row>19</xdr:row>
      <xdr:rowOff>121920</xdr:rowOff>
    </xdr:from>
    <xdr:to>
      <xdr:col>15</xdr:col>
      <xdr:colOff>108065</xdr:colOff>
      <xdr:row>19</xdr:row>
      <xdr:rowOff>129540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xmlns="" id="{54CA0C86-EF17-44BA-9731-4DAB5489EF40}"/>
            </a:ext>
          </a:extLst>
        </xdr:cNvPr>
        <xdr:cNvCxnSpPr/>
      </xdr:nvCxnSpPr>
      <xdr:spPr>
        <a:xfrm flipV="1">
          <a:off x="8884920" y="3528060"/>
          <a:ext cx="199505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68580</xdr:colOff>
      <xdr:row>25</xdr:row>
      <xdr:rowOff>182880</xdr:rowOff>
    </xdr:from>
    <xdr:to>
      <xdr:col>18</xdr:col>
      <xdr:colOff>7620</xdr:colOff>
      <xdr:row>27</xdr:row>
      <xdr:rowOff>175258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2EB88461-B65D-4AE8-BE86-B22EE8CF63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469880" y="4732020"/>
          <a:ext cx="327660" cy="358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350520</xdr:colOff>
      <xdr:row>6</xdr:row>
      <xdr:rowOff>68581</xdr:rowOff>
    </xdr:from>
    <xdr:to>
      <xdr:col>2</xdr:col>
      <xdr:colOff>388620</xdr:colOff>
      <xdr:row>8</xdr:row>
      <xdr:rowOff>160021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312868D0-1F12-406D-A51D-36D2DD4CDA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/>
        <a:srcRect t="4629"/>
        <a:stretch/>
      </xdr:blipFill>
      <xdr:spPr>
        <a:xfrm>
          <a:off x="708660" y="998221"/>
          <a:ext cx="396240" cy="4572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68580</xdr:rowOff>
    </xdr:from>
    <xdr:to>
      <xdr:col>3</xdr:col>
      <xdr:colOff>350520</xdr:colOff>
      <xdr:row>2</xdr:row>
      <xdr:rowOff>0</xdr:rowOff>
    </xdr:to>
    <xdr:sp macro="" textlink="">
      <xdr:nvSpPr>
        <xdr:cNvPr id="4" name="Rectangle: Top Corners One Rounded and One Snipped 3">
          <a:extLst>
            <a:ext uri="{FF2B5EF4-FFF2-40B4-BE49-F238E27FC236}">
              <a16:creationId xmlns:a16="http://schemas.microsoft.com/office/drawing/2014/main" xmlns="" id="{A9112B87-A9B4-4BC2-BC25-43F305AA9841}"/>
            </a:ext>
          </a:extLst>
        </xdr:cNvPr>
        <xdr:cNvSpPr/>
      </xdr:nvSpPr>
      <xdr:spPr>
        <a:xfrm>
          <a:off x="358140" y="68580"/>
          <a:ext cx="1600200" cy="312420"/>
        </a:xfrm>
        <a:prstGeom prst="snipRoundRect">
          <a:avLst/>
        </a:prstGeom>
        <a:solidFill>
          <a:schemeClr val="accent1">
            <a:lumMod val="60000"/>
            <a:lumOff val="40000"/>
          </a:schemeClr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Uninsulated</a:t>
          </a:r>
          <a:r>
            <a:rPr lang="en-GB" sz="110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 pipe</a:t>
          </a:r>
          <a:endParaRPr lang="en-GB" sz="11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518360</xdr:colOff>
      <xdr:row>24</xdr:row>
      <xdr:rowOff>60960</xdr:rowOff>
    </xdr:from>
    <xdr:to>
      <xdr:col>10</xdr:col>
      <xdr:colOff>466182</xdr:colOff>
      <xdr:row>26</xdr:row>
      <xdr:rowOff>45720</xdr:rowOff>
    </xdr:to>
    <xdr:sp macro="" textlink="">
      <xdr:nvSpPr>
        <xdr:cNvPr id="5" name="Flowchart: Terminator 4">
          <a:extLst>
            <a:ext uri="{FF2B5EF4-FFF2-40B4-BE49-F238E27FC236}">
              <a16:creationId xmlns:a16="http://schemas.microsoft.com/office/drawing/2014/main" xmlns="" id="{9D79CCA2-0DE0-4FDD-B67A-3CC3E41C44CA}"/>
            </a:ext>
          </a:extLst>
        </xdr:cNvPr>
        <xdr:cNvSpPr/>
      </xdr:nvSpPr>
      <xdr:spPr>
        <a:xfrm>
          <a:off x="4282640" y="4419600"/>
          <a:ext cx="1753762" cy="365760"/>
        </a:xfrm>
        <a:prstGeom prst="flowChartTerminator">
          <a:avLst/>
        </a:prstGeom>
        <a:solidFill>
          <a:schemeClr val="accent1">
            <a:lumMod val="60000"/>
            <a:lumOff val="4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/>
            <a:t>Comments</a:t>
          </a:r>
          <a:r>
            <a:rPr lang="en-GB" sz="1100"/>
            <a:t> </a:t>
          </a:r>
        </a:p>
      </xdr:txBody>
    </xdr:sp>
    <xdr:clientData/>
  </xdr:twoCellAnchor>
  <xdr:twoCellAnchor>
    <xdr:from>
      <xdr:col>7</xdr:col>
      <xdr:colOff>532364</xdr:colOff>
      <xdr:row>21</xdr:row>
      <xdr:rowOff>76200</xdr:rowOff>
    </xdr:from>
    <xdr:to>
      <xdr:col>10</xdr:col>
      <xdr:colOff>487680</xdr:colOff>
      <xdr:row>23</xdr:row>
      <xdr:rowOff>76200</xdr:rowOff>
    </xdr:to>
    <xdr:sp macro="" textlink="">
      <xdr:nvSpPr>
        <xdr:cNvPr id="6" name="Flowchart: Terminator 5">
          <a:extLst>
            <a:ext uri="{FF2B5EF4-FFF2-40B4-BE49-F238E27FC236}">
              <a16:creationId xmlns:a16="http://schemas.microsoft.com/office/drawing/2014/main" xmlns="" id="{F1B55EF4-14A0-48CC-A39F-5693A23E383B}"/>
            </a:ext>
          </a:extLst>
        </xdr:cNvPr>
        <xdr:cNvSpPr/>
      </xdr:nvSpPr>
      <xdr:spPr>
        <a:xfrm>
          <a:off x="4296644" y="3863340"/>
          <a:ext cx="1761256" cy="381000"/>
        </a:xfrm>
        <a:prstGeom prst="flowChartTerminator">
          <a:avLst/>
        </a:prstGeom>
        <a:solidFill>
          <a:schemeClr val="accent1">
            <a:lumMod val="60000"/>
            <a:lumOff val="4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/>
            <a:t>Space issue</a:t>
          </a:r>
          <a:endParaRPr lang="en-GB" sz="1100"/>
        </a:p>
      </xdr:txBody>
    </xdr:sp>
    <xdr:clientData/>
  </xdr:twoCellAnchor>
  <xdr:twoCellAnchor>
    <xdr:from>
      <xdr:col>7</xdr:col>
      <xdr:colOff>533400</xdr:colOff>
      <xdr:row>18</xdr:row>
      <xdr:rowOff>144780</xdr:rowOff>
    </xdr:from>
    <xdr:to>
      <xdr:col>10</xdr:col>
      <xdr:colOff>436253</xdr:colOff>
      <xdr:row>20</xdr:row>
      <xdr:rowOff>137160</xdr:rowOff>
    </xdr:to>
    <xdr:sp macro="" textlink="">
      <xdr:nvSpPr>
        <xdr:cNvPr id="7" name="Flowchart: Terminator 6">
          <a:extLst>
            <a:ext uri="{FF2B5EF4-FFF2-40B4-BE49-F238E27FC236}">
              <a16:creationId xmlns:a16="http://schemas.microsoft.com/office/drawing/2014/main" xmlns="" id="{CD221F5D-C886-4D7F-9C37-D670D8B927AA}"/>
            </a:ext>
          </a:extLst>
        </xdr:cNvPr>
        <xdr:cNvSpPr/>
      </xdr:nvSpPr>
      <xdr:spPr>
        <a:xfrm>
          <a:off x="4297680" y="3360420"/>
          <a:ext cx="1708793" cy="373380"/>
        </a:xfrm>
        <a:prstGeom prst="flowChartTerminator">
          <a:avLst/>
        </a:prstGeom>
        <a:solidFill>
          <a:schemeClr val="accent1">
            <a:lumMod val="60000"/>
            <a:lumOff val="4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/>
            <a:t>Operational</a:t>
          </a:r>
          <a:r>
            <a:rPr lang="en-GB" sz="1600" baseline="0"/>
            <a:t> </a:t>
          </a:r>
          <a:r>
            <a:rPr lang="en-GB" sz="1600"/>
            <a:t> risk </a:t>
          </a:r>
          <a:r>
            <a:rPr lang="en-GB" sz="1100"/>
            <a:t> </a:t>
          </a:r>
        </a:p>
      </xdr:txBody>
    </xdr:sp>
    <xdr:clientData/>
  </xdr:twoCellAnchor>
  <xdr:twoCellAnchor>
    <xdr:from>
      <xdr:col>7</xdr:col>
      <xdr:colOff>563880</xdr:colOff>
      <xdr:row>16</xdr:row>
      <xdr:rowOff>7620</xdr:rowOff>
    </xdr:from>
    <xdr:to>
      <xdr:col>10</xdr:col>
      <xdr:colOff>466733</xdr:colOff>
      <xdr:row>18</xdr:row>
      <xdr:rowOff>0</xdr:rowOff>
    </xdr:to>
    <xdr:sp macro="" textlink="">
      <xdr:nvSpPr>
        <xdr:cNvPr id="8" name="Flowchart: Terminator 7">
          <a:extLst>
            <a:ext uri="{FF2B5EF4-FFF2-40B4-BE49-F238E27FC236}">
              <a16:creationId xmlns:a16="http://schemas.microsoft.com/office/drawing/2014/main" xmlns="" id="{17F35F97-8FD8-4149-B1A1-736A47FFD1FB}"/>
            </a:ext>
          </a:extLst>
        </xdr:cNvPr>
        <xdr:cNvSpPr/>
      </xdr:nvSpPr>
      <xdr:spPr>
        <a:xfrm>
          <a:off x="4328160" y="2842260"/>
          <a:ext cx="1708793" cy="373380"/>
        </a:xfrm>
        <a:prstGeom prst="flowChartTerminator">
          <a:avLst/>
        </a:prstGeom>
        <a:solidFill>
          <a:schemeClr val="accent1">
            <a:lumMod val="60000"/>
            <a:lumOff val="4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/>
            <a:t>Safety risk </a:t>
          </a:r>
          <a:r>
            <a:rPr lang="en-GB" sz="1100"/>
            <a:t> </a:t>
          </a:r>
        </a:p>
      </xdr:txBody>
    </xdr:sp>
    <xdr:clientData/>
  </xdr:twoCellAnchor>
  <xdr:twoCellAnchor editAs="oneCell">
    <xdr:from>
      <xdr:col>2</xdr:col>
      <xdr:colOff>556260</xdr:colOff>
      <xdr:row>6</xdr:row>
      <xdr:rowOff>53340</xdr:rowOff>
    </xdr:from>
    <xdr:to>
      <xdr:col>3</xdr:col>
      <xdr:colOff>106680</xdr:colOff>
      <xdr:row>8</xdr:row>
      <xdr:rowOff>160020</xdr:rowOff>
    </xdr:to>
    <xdr:pic>
      <xdr:nvPicPr>
        <xdr:cNvPr id="9" name="Graphic 8" descr="Open Folder">
          <a:extLst>
            <a:ext uri="{FF2B5EF4-FFF2-40B4-BE49-F238E27FC236}">
              <a16:creationId xmlns:a16="http://schemas.microsoft.com/office/drawing/2014/main" xmlns="" id="{30A67DFA-4B8B-4B9B-B588-084B79FA8B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5"/>
            </a:ext>
          </a:extLst>
        </a:blip>
        <a:stretch>
          <a:fillRect/>
        </a:stretch>
      </xdr:blipFill>
      <xdr:spPr>
        <a:xfrm>
          <a:off x="1272540" y="982980"/>
          <a:ext cx="441960" cy="472440"/>
        </a:xfrm>
        <a:prstGeom prst="rect">
          <a:avLst/>
        </a:prstGeom>
      </xdr:spPr>
    </xdr:pic>
    <xdr:clientData/>
  </xdr:twoCellAnchor>
  <xdr:twoCellAnchor>
    <xdr:from>
      <xdr:col>16</xdr:col>
      <xdr:colOff>312420</xdr:colOff>
      <xdr:row>0</xdr:row>
      <xdr:rowOff>99060</xdr:rowOff>
    </xdr:from>
    <xdr:to>
      <xdr:col>18</xdr:col>
      <xdr:colOff>7620</xdr:colOff>
      <xdr:row>1</xdr:row>
      <xdr:rowOff>121920</xdr:rowOff>
    </xdr:to>
    <xdr:sp macro="" textlink="">
      <xdr:nvSpPr>
        <xdr:cNvPr id="10" name="Flowchart: Terminator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xmlns="" id="{D742D1CE-F468-4D6E-8A27-31AC1AB37D0B}"/>
            </a:ext>
          </a:extLst>
        </xdr:cNvPr>
        <xdr:cNvSpPr/>
      </xdr:nvSpPr>
      <xdr:spPr>
        <a:xfrm>
          <a:off x="10111740" y="99060"/>
          <a:ext cx="685800" cy="213360"/>
        </a:xfrm>
        <a:prstGeom prst="flowChartTerminator">
          <a:avLst/>
        </a:prstGeom>
        <a:solidFill>
          <a:schemeClr val="accent6">
            <a:lumMod val="5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 b="1"/>
            <a:t>End </a:t>
          </a:r>
        </a:p>
      </xdr:txBody>
    </xdr:sp>
    <xdr:clientData/>
  </xdr:twoCellAnchor>
  <xdr:twoCellAnchor editAs="oneCell">
    <xdr:from>
      <xdr:col>13</xdr:col>
      <xdr:colOff>182886</xdr:colOff>
      <xdr:row>36</xdr:row>
      <xdr:rowOff>45721</xdr:rowOff>
    </xdr:from>
    <xdr:to>
      <xdr:col>13</xdr:col>
      <xdr:colOff>419105</xdr:colOff>
      <xdr:row>44</xdr:row>
      <xdr:rowOff>167641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07F3A278-7754-4EDA-BBC4-84C802FD84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b="26107"/>
        <a:stretch/>
      </xdr:blipFill>
      <xdr:spPr>
        <a:xfrm rot="16200000">
          <a:off x="6922776" y="7311391"/>
          <a:ext cx="1584960" cy="236219"/>
        </a:xfrm>
        <a:prstGeom prst="rect">
          <a:avLst/>
        </a:prstGeom>
      </xdr:spPr>
    </xdr:pic>
    <xdr:clientData/>
  </xdr:twoCellAnchor>
  <xdr:twoCellAnchor editAs="oneCell">
    <xdr:from>
      <xdr:col>14</xdr:col>
      <xdr:colOff>364497</xdr:colOff>
      <xdr:row>38</xdr:row>
      <xdr:rowOff>69853</xdr:rowOff>
    </xdr:from>
    <xdr:to>
      <xdr:col>14</xdr:col>
      <xdr:colOff>539756</xdr:colOff>
      <xdr:row>46</xdr:row>
      <xdr:rowOff>52069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5657B40E-9E53-4F65-A360-6417063E50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16200000">
          <a:off x="7745739" y="7661911"/>
          <a:ext cx="1445256" cy="175259"/>
        </a:xfrm>
        <a:prstGeom prst="rect">
          <a:avLst/>
        </a:prstGeom>
      </xdr:spPr>
    </xdr:pic>
    <xdr:clientData/>
  </xdr:twoCellAnchor>
  <xdr:twoCellAnchor editAs="oneCell">
    <xdr:from>
      <xdr:col>16</xdr:col>
      <xdr:colOff>101809</xdr:colOff>
      <xdr:row>34</xdr:row>
      <xdr:rowOff>73451</xdr:rowOff>
    </xdr:from>
    <xdr:to>
      <xdr:col>16</xdr:col>
      <xdr:colOff>498048</xdr:colOff>
      <xdr:row>43</xdr:row>
      <xdr:rowOff>86568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69F9206F-B2E6-454F-8BA6-A5E9E818C3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4333" t="38094" r="77667"/>
        <a:stretch/>
      </xdr:blipFill>
      <xdr:spPr>
        <a:xfrm rot="16200000">
          <a:off x="9269730" y="6930390"/>
          <a:ext cx="1659037" cy="396239"/>
        </a:xfrm>
        <a:prstGeom prst="rect">
          <a:avLst/>
        </a:prstGeom>
      </xdr:spPr>
    </xdr:pic>
    <xdr:clientData/>
  </xdr:twoCellAnchor>
  <xdr:twoCellAnchor editAs="oneCell">
    <xdr:from>
      <xdr:col>22</xdr:col>
      <xdr:colOff>182880</xdr:colOff>
      <xdr:row>39</xdr:row>
      <xdr:rowOff>106680</xdr:rowOff>
    </xdr:from>
    <xdr:to>
      <xdr:col>22</xdr:col>
      <xdr:colOff>470439</xdr:colOff>
      <xdr:row>41</xdr:row>
      <xdr:rowOff>144780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646E8275-B65B-4771-8ED5-2AE79C3DE2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/>
        <a:srcRect l="11597" r="32278"/>
        <a:stretch/>
      </xdr:blipFill>
      <xdr:spPr>
        <a:xfrm>
          <a:off x="13068300" y="7246620"/>
          <a:ext cx="287559" cy="403860"/>
        </a:xfrm>
        <a:prstGeom prst="rect">
          <a:avLst/>
        </a:prstGeom>
      </xdr:spPr>
    </xdr:pic>
    <xdr:clientData/>
  </xdr:twoCellAnchor>
  <xdr:twoCellAnchor editAs="oneCell">
    <xdr:from>
      <xdr:col>16</xdr:col>
      <xdr:colOff>556260</xdr:colOff>
      <xdr:row>9</xdr:row>
      <xdr:rowOff>38100</xdr:rowOff>
    </xdr:from>
    <xdr:to>
      <xdr:col>18</xdr:col>
      <xdr:colOff>76200</xdr:colOff>
      <xdr:row>12</xdr:row>
      <xdr:rowOff>0</xdr:rowOff>
    </xdr:to>
    <xdr:pic>
      <xdr:nvPicPr>
        <xdr:cNvPr id="15" name="Graphic 14" descr="Shar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xmlns="" id="{2F17DD54-30AD-47A2-BDC0-A9560EDDC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3"/>
            </a:ext>
          </a:extLst>
        </a:blip>
        <a:stretch>
          <a:fillRect/>
        </a:stretch>
      </xdr:blipFill>
      <xdr:spPr>
        <a:xfrm>
          <a:off x="10355580" y="1539240"/>
          <a:ext cx="510540" cy="510540"/>
        </a:xfrm>
        <a:prstGeom prst="rect">
          <a:avLst/>
        </a:prstGeom>
      </xdr:spPr>
    </xdr:pic>
    <xdr:clientData/>
  </xdr:twoCellAnchor>
  <xdr:twoCellAnchor>
    <xdr:from>
      <xdr:col>15</xdr:col>
      <xdr:colOff>121920</xdr:colOff>
      <xdr:row>0</xdr:row>
      <xdr:rowOff>91440</xdr:rowOff>
    </xdr:from>
    <xdr:to>
      <xdr:col>16</xdr:col>
      <xdr:colOff>213360</xdr:colOff>
      <xdr:row>1</xdr:row>
      <xdr:rowOff>121920</xdr:rowOff>
    </xdr:to>
    <xdr:sp macro="" textlink="">
      <xdr:nvSpPr>
        <xdr:cNvPr id="16" name="Flowchart: Terminator 15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xmlns="" id="{B859DC16-14C1-46F8-8E9F-0258E9DD482A}"/>
            </a:ext>
          </a:extLst>
        </xdr:cNvPr>
        <xdr:cNvSpPr/>
      </xdr:nvSpPr>
      <xdr:spPr>
        <a:xfrm>
          <a:off x="9037320" y="91440"/>
          <a:ext cx="975360" cy="220980"/>
        </a:xfrm>
        <a:prstGeom prst="flowChartTerminator">
          <a:avLst/>
        </a:prstGeom>
        <a:noFill/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 b="1"/>
            <a:t>back   </a:t>
          </a:r>
        </a:p>
      </xdr:txBody>
    </xdr:sp>
    <xdr:clientData/>
  </xdr:twoCellAnchor>
  <xdr:twoCellAnchor>
    <xdr:from>
      <xdr:col>14</xdr:col>
      <xdr:colOff>556260</xdr:colOff>
      <xdr:row>9</xdr:row>
      <xdr:rowOff>129540</xdr:rowOff>
    </xdr:from>
    <xdr:to>
      <xdr:col>16</xdr:col>
      <xdr:colOff>457200</xdr:colOff>
      <xdr:row>11</xdr:row>
      <xdr:rowOff>114300</xdr:rowOff>
    </xdr:to>
    <xdr:sp macro="" textlink="">
      <xdr:nvSpPr>
        <xdr:cNvPr id="17" name="Flowchart: Terminator 16">
          <a:extLst>
            <a:ext uri="{FF2B5EF4-FFF2-40B4-BE49-F238E27FC236}">
              <a16:creationId xmlns:a16="http://schemas.microsoft.com/office/drawing/2014/main" xmlns="" id="{BDCE1B0B-36E2-4659-AD94-007C0611FCA2}"/>
            </a:ext>
          </a:extLst>
        </xdr:cNvPr>
        <xdr:cNvSpPr/>
      </xdr:nvSpPr>
      <xdr:spPr>
        <a:xfrm>
          <a:off x="8572500" y="1630680"/>
          <a:ext cx="1684020" cy="365760"/>
        </a:xfrm>
        <a:prstGeom prst="flowChartTerminator">
          <a:avLst/>
        </a:prstGeom>
        <a:solidFill>
          <a:schemeClr val="accent6"/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/>
            <a:t>TIPCHECK</a:t>
          </a:r>
          <a:r>
            <a:rPr lang="en-GB" sz="1100"/>
            <a:t> </a:t>
          </a:r>
        </a:p>
      </xdr:txBody>
    </xdr:sp>
    <xdr:clientData/>
  </xdr:twoCellAnchor>
  <xdr:twoCellAnchor editAs="oneCell">
    <xdr:from>
      <xdr:col>4</xdr:col>
      <xdr:colOff>53340</xdr:colOff>
      <xdr:row>24</xdr:row>
      <xdr:rowOff>7620</xdr:rowOff>
    </xdr:from>
    <xdr:to>
      <xdr:col>4</xdr:col>
      <xdr:colOff>327660</xdr:colOff>
      <xdr:row>26</xdr:row>
      <xdr:rowOff>5620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xmlns="" id="{BF511829-D765-42F7-B695-7CC86D9FC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2263140" y="4366260"/>
          <a:ext cx="274320" cy="363760"/>
        </a:xfrm>
        <a:prstGeom prst="rect">
          <a:avLst/>
        </a:prstGeom>
      </xdr:spPr>
    </xdr:pic>
    <xdr:clientData/>
  </xdr:twoCellAnchor>
  <xdr:twoCellAnchor>
    <xdr:from>
      <xdr:col>14</xdr:col>
      <xdr:colOff>739140</xdr:colOff>
      <xdr:row>18</xdr:row>
      <xdr:rowOff>68580</xdr:rowOff>
    </xdr:from>
    <xdr:to>
      <xdr:col>15</xdr:col>
      <xdr:colOff>85205</xdr:colOff>
      <xdr:row>18</xdr:row>
      <xdr:rowOff>76200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xmlns="" id="{4B343C58-72BC-4F12-BFBA-0FC7462D8F64}"/>
            </a:ext>
          </a:extLst>
        </xdr:cNvPr>
        <xdr:cNvCxnSpPr/>
      </xdr:nvCxnSpPr>
      <xdr:spPr>
        <a:xfrm flipV="1">
          <a:off x="8755380" y="3284220"/>
          <a:ext cx="245225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762000</xdr:colOff>
      <xdr:row>19</xdr:row>
      <xdr:rowOff>121920</xdr:rowOff>
    </xdr:from>
    <xdr:to>
      <xdr:col>15</xdr:col>
      <xdr:colOff>108065</xdr:colOff>
      <xdr:row>19</xdr:row>
      <xdr:rowOff>129540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xmlns="" id="{22D30126-0D60-431A-AA32-A0FBF3F5AB61}"/>
            </a:ext>
          </a:extLst>
        </xdr:cNvPr>
        <xdr:cNvCxnSpPr/>
      </xdr:nvCxnSpPr>
      <xdr:spPr>
        <a:xfrm flipV="1">
          <a:off x="8778240" y="3528060"/>
          <a:ext cx="245225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458728</xdr:colOff>
      <xdr:row>39</xdr:row>
      <xdr:rowOff>23453</xdr:rowOff>
    </xdr:from>
    <xdr:to>
      <xdr:col>26</xdr:col>
      <xdr:colOff>198110</xdr:colOff>
      <xdr:row>42</xdr:row>
      <xdr:rowOff>121144</xdr:rowOff>
    </xdr:to>
    <xdr:sp macro="" textlink="">
      <xdr:nvSpPr>
        <xdr:cNvPr id="2" name="TextBox 22">
          <a:extLst>
            <a:ext uri="{FF2B5EF4-FFF2-40B4-BE49-F238E27FC236}">
              <a16:creationId xmlns:a16="http://schemas.microsoft.com/office/drawing/2014/main" xmlns="" id="{23108A65-2A97-40C1-8676-A142533B8B92}"/>
            </a:ext>
          </a:extLst>
        </xdr:cNvPr>
        <xdr:cNvSpPr txBox="1"/>
      </xdr:nvSpPr>
      <xdr:spPr>
        <a:xfrm>
          <a:off x="13862308" y="7163393"/>
          <a:ext cx="1568182" cy="64633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b="1">
              <a:solidFill>
                <a:schemeClr val="bg1"/>
              </a:solidFill>
            </a:rPr>
            <a:t>DAMAGE INSULATION </a:t>
          </a:r>
        </a:p>
      </xdr:txBody>
    </xdr:sp>
    <xdr:clientData/>
  </xdr:twoCellAnchor>
  <xdr:twoCellAnchor>
    <xdr:from>
      <xdr:col>23</xdr:col>
      <xdr:colOff>458728</xdr:colOff>
      <xdr:row>39</xdr:row>
      <xdr:rowOff>23453</xdr:rowOff>
    </xdr:from>
    <xdr:to>
      <xdr:col>26</xdr:col>
      <xdr:colOff>198110</xdr:colOff>
      <xdr:row>42</xdr:row>
      <xdr:rowOff>121144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xmlns="" id="{3834602E-3739-4A23-AADE-636F45F8629E}"/>
            </a:ext>
          </a:extLst>
        </xdr:cNvPr>
        <xdr:cNvSpPr txBox="1"/>
      </xdr:nvSpPr>
      <xdr:spPr>
        <a:xfrm>
          <a:off x="13862308" y="7163393"/>
          <a:ext cx="1568182" cy="64633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b="1">
              <a:solidFill>
                <a:schemeClr val="bg1"/>
              </a:solidFill>
            </a:rPr>
            <a:t>DAMAGE INSULATION </a:t>
          </a:r>
        </a:p>
      </xdr:txBody>
    </xdr:sp>
    <xdr:clientData/>
  </xdr:twoCellAnchor>
  <xdr:twoCellAnchor editAs="oneCell">
    <xdr:from>
      <xdr:col>1</xdr:col>
      <xdr:colOff>350520</xdr:colOff>
      <xdr:row>6</xdr:row>
      <xdr:rowOff>68581</xdr:rowOff>
    </xdr:from>
    <xdr:to>
      <xdr:col>2</xdr:col>
      <xdr:colOff>388620</xdr:colOff>
      <xdr:row>8</xdr:row>
      <xdr:rowOff>144781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548B29CA-F6C6-4E9C-B783-36CE872396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/>
        <a:srcRect t="4629"/>
        <a:stretch/>
      </xdr:blipFill>
      <xdr:spPr>
        <a:xfrm>
          <a:off x="708660" y="998221"/>
          <a:ext cx="396240" cy="44196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76200</xdr:rowOff>
    </xdr:from>
    <xdr:to>
      <xdr:col>3</xdr:col>
      <xdr:colOff>350520</xdr:colOff>
      <xdr:row>2</xdr:row>
      <xdr:rowOff>7620</xdr:rowOff>
    </xdr:to>
    <xdr:sp macro="" textlink="">
      <xdr:nvSpPr>
        <xdr:cNvPr id="5" name="Rectangle: Top Corners One Rounded and One Snipped 4">
          <a:extLst>
            <a:ext uri="{FF2B5EF4-FFF2-40B4-BE49-F238E27FC236}">
              <a16:creationId xmlns:a16="http://schemas.microsoft.com/office/drawing/2014/main" xmlns="" id="{FE3DE744-FD41-4E1C-AC42-F2E13D679570}"/>
            </a:ext>
          </a:extLst>
        </xdr:cNvPr>
        <xdr:cNvSpPr/>
      </xdr:nvSpPr>
      <xdr:spPr>
        <a:xfrm>
          <a:off x="358140" y="76200"/>
          <a:ext cx="1600200" cy="312420"/>
        </a:xfrm>
        <a:prstGeom prst="snipRoundRect">
          <a:avLst/>
        </a:prstGeom>
        <a:solidFill>
          <a:schemeClr val="accent1">
            <a:lumMod val="60000"/>
            <a:lumOff val="40000"/>
          </a:schemeClr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1100" b="1">
              <a:solidFill>
                <a:schemeClr val="lt1"/>
              </a:solidFill>
              <a:latin typeface="+mn-lt"/>
              <a:ea typeface="+mn-ea"/>
              <a:cs typeface="+mn-cs"/>
            </a:rPr>
            <a:t>Insulated Surface</a:t>
          </a:r>
        </a:p>
      </xdr:txBody>
    </xdr:sp>
    <xdr:clientData/>
  </xdr:twoCellAnchor>
  <xdr:twoCellAnchor editAs="oneCell">
    <xdr:from>
      <xdr:col>2</xdr:col>
      <xdr:colOff>556260</xdr:colOff>
      <xdr:row>6</xdr:row>
      <xdr:rowOff>53340</xdr:rowOff>
    </xdr:from>
    <xdr:to>
      <xdr:col>3</xdr:col>
      <xdr:colOff>106680</xdr:colOff>
      <xdr:row>8</xdr:row>
      <xdr:rowOff>144780</xdr:rowOff>
    </xdr:to>
    <xdr:pic>
      <xdr:nvPicPr>
        <xdr:cNvPr id="6" name="Graphic 5" descr="Open Folder">
          <a:extLst>
            <a:ext uri="{FF2B5EF4-FFF2-40B4-BE49-F238E27FC236}">
              <a16:creationId xmlns:a16="http://schemas.microsoft.com/office/drawing/2014/main" xmlns="" id="{93442527-4947-4571-8335-171E64E8A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1272540" y="982980"/>
          <a:ext cx="441960" cy="457200"/>
        </a:xfrm>
        <a:prstGeom prst="rect">
          <a:avLst/>
        </a:prstGeom>
      </xdr:spPr>
    </xdr:pic>
    <xdr:clientData/>
  </xdr:twoCellAnchor>
  <xdr:twoCellAnchor>
    <xdr:from>
      <xdr:col>16</xdr:col>
      <xdr:colOff>312420</xdr:colOff>
      <xdr:row>0</xdr:row>
      <xdr:rowOff>99060</xdr:rowOff>
    </xdr:from>
    <xdr:to>
      <xdr:col>18</xdr:col>
      <xdr:colOff>7620</xdr:colOff>
      <xdr:row>1</xdr:row>
      <xdr:rowOff>121920</xdr:rowOff>
    </xdr:to>
    <xdr:sp macro="" textlink="">
      <xdr:nvSpPr>
        <xdr:cNvPr id="7" name="Flowchart: Terminator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09BE927A-C598-4746-BE5E-D5EAE4A762A0}"/>
            </a:ext>
          </a:extLst>
        </xdr:cNvPr>
        <xdr:cNvSpPr/>
      </xdr:nvSpPr>
      <xdr:spPr>
        <a:xfrm>
          <a:off x="9685020" y="99060"/>
          <a:ext cx="685800" cy="213360"/>
        </a:xfrm>
        <a:prstGeom prst="flowChartTerminator">
          <a:avLst/>
        </a:prstGeom>
        <a:solidFill>
          <a:schemeClr val="accent6">
            <a:lumMod val="5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 b="1"/>
            <a:t>End </a:t>
          </a:r>
        </a:p>
      </xdr:txBody>
    </xdr:sp>
    <xdr:clientData/>
  </xdr:twoCellAnchor>
  <xdr:twoCellAnchor>
    <xdr:from>
      <xdr:col>7</xdr:col>
      <xdr:colOff>533400</xdr:colOff>
      <xdr:row>24</xdr:row>
      <xdr:rowOff>45720</xdr:rowOff>
    </xdr:from>
    <xdr:to>
      <xdr:col>10</xdr:col>
      <xdr:colOff>481222</xdr:colOff>
      <xdr:row>26</xdr:row>
      <xdr:rowOff>30480</xdr:rowOff>
    </xdr:to>
    <xdr:sp macro="" textlink="">
      <xdr:nvSpPr>
        <xdr:cNvPr id="9" name="Flowchart: Terminator 8">
          <a:extLst>
            <a:ext uri="{FF2B5EF4-FFF2-40B4-BE49-F238E27FC236}">
              <a16:creationId xmlns:a16="http://schemas.microsoft.com/office/drawing/2014/main" xmlns="" id="{EF04B511-F8A7-4330-AF20-B8FCCF4258F9}"/>
            </a:ext>
          </a:extLst>
        </xdr:cNvPr>
        <xdr:cNvSpPr/>
      </xdr:nvSpPr>
      <xdr:spPr>
        <a:xfrm>
          <a:off x="4297680" y="4404360"/>
          <a:ext cx="1753762" cy="365760"/>
        </a:xfrm>
        <a:prstGeom prst="flowChartTerminator">
          <a:avLst/>
        </a:prstGeom>
        <a:solidFill>
          <a:schemeClr val="accent1">
            <a:lumMod val="60000"/>
            <a:lumOff val="4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/>
            <a:t>Comments</a:t>
          </a:r>
          <a:r>
            <a:rPr lang="en-GB" sz="1100"/>
            <a:t> </a:t>
          </a:r>
        </a:p>
      </xdr:txBody>
    </xdr:sp>
    <xdr:clientData/>
  </xdr:twoCellAnchor>
  <xdr:twoCellAnchor>
    <xdr:from>
      <xdr:col>7</xdr:col>
      <xdr:colOff>547404</xdr:colOff>
      <xdr:row>21</xdr:row>
      <xdr:rowOff>60960</xdr:rowOff>
    </xdr:from>
    <xdr:to>
      <xdr:col>10</xdr:col>
      <xdr:colOff>502720</xdr:colOff>
      <xdr:row>23</xdr:row>
      <xdr:rowOff>60960</xdr:rowOff>
    </xdr:to>
    <xdr:sp macro="" textlink="">
      <xdr:nvSpPr>
        <xdr:cNvPr id="10" name="Flowchart: Terminator 9">
          <a:extLst>
            <a:ext uri="{FF2B5EF4-FFF2-40B4-BE49-F238E27FC236}">
              <a16:creationId xmlns:a16="http://schemas.microsoft.com/office/drawing/2014/main" xmlns="" id="{44A03C46-826F-47C5-9AE8-DDDD6E96BC4C}"/>
            </a:ext>
          </a:extLst>
        </xdr:cNvPr>
        <xdr:cNvSpPr/>
      </xdr:nvSpPr>
      <xdr:spPr>
        <a:xfrm>
          <a:off x="4311684" y="3848100"/>
          <a:ext cx="1761256" cy="381000"/>
        </a:xfrm>
        <a:prstGeom prst="flowChartTerminator">
          <a:avLst/>
        </a:prstGeom>
        <a:solidFill>
          <a:schemeClr val="accent1">
            <a:lumMod val="60000"/>
            <a:lumOff val="4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/>
            <a:t>Space issue</a:t>
          </a:r>
          <a:endParaRPr lang="en-GB" sz="1100"/>
        </a:p>
      </xdr:txBody>
    </xdr:sp>
    <xdr:clientData/>
  </xdr:twoCellAnchor>
  <xdr:twoCellAnchor>
    <xdr:from>
      <xdr:col>7</xdr:col>
      <xdr:colOff>548440</xdr:colOff>
      <xdr:row>18</xdr:row>
      <xdr:rowOff>129540</xdr:rowOff>
    </xdr:from>
    <xdr:to>
      <xdr:col>10</xdr:col>
      <xdr:colOff>451293</xdr:colOff>
      <xdr:row>20</xdr:row>
      <xdr:rowOff>121920</xdr:rowOff>
    </xdr:to>
    <xdr:sp macro="" textlink="">
      <xdr:nvSpPr>
        <xdr:cNvPr id="11" name="Flowchart: Terminator 10">
          <a:extLst>
            <a:ext uri="{FF2B5EF4-FFF2-40B4-BE49-F238E27FC236}">
              <a16:creationId xmlns:a16="http://schemas.microsoft.com/office/drawing/2014/main" xmlns="" id="{551B4613-47AB-49BD-98CB-02896EF68EC6}"/>
            </a:ext>
          </a:extLst>
        </xdr:cNvPr>
        <xdr:cNvSpPr/>
      </xdr:nvSpPr>
      <xdr:spPr>
        <a:xfrm>
          <a:off x="4312720" y="3345180"/>
          <a:ext cx="1708793" cy="373380"/>
        </a:xfrm>
        <a:prstGeom prst="flowChartTerminator">
          <a:avLst/>
        </a:prstGeom>
        <a:solidFill>
          <a:schemeClr val="accent1">
            <a:lumMod val="60000"/>
            <a:lumOff val="4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/>
            <a:t>Operational</a:t>
          </a:r>
          <a:r>
            <a:rPr lang="en-GB" sz="1600" baseline="0"/>
            <a:t> </a:t>
          </a:r>
          <a:r>
            <a:rPr lang="en-GB" sz="1600"/>
            <a:t> risk </a:t>
          </a:r>
          <a:r>
            <a:rPr lang="en-GB" sz="1100"/>
            <a:t> </a:t>
          </a:r>
        </a:p>
      </xdr:txBody>
    </xdr:sp>
    <xdr:clientData/>
  </xdr:twoCellAnchor>
  <xdr:twoCellAnchor>
    <xdr:from>
      <xdr:col>7</xdr:col>
      <xdr:colOff>578920</xdr:colOff>
      <xdr:row>15</xdr:row>
      <xdr:rowOff>182880</xdr:rowOff>
    </xdr:from>
    <xdr:to>
      <xdr:col>10</xdr:col>
      <xdr:colOff>481773</xdr:colOff>
      <xdr:row>17</xdr:row>
      <xdr:rowOff>175260</xdr:rowOff>
    </xdr:to>
    <xdr:sp macro="" textlink="">
      <xdr:nvSpPr>
        <xdr:cNvPr id="12" name="Flowchart: Terminator 11">
          <a:extLst>
            <a:ext uri="{FF2B5EF4-FFF2-40B4-BE49-F238E27FC236}">
              <a16:creationId xmlns:a16="http://schemas.microsoft.com/office/drawing/2014/main" xmlns="" id="{C5748223-1690-4683-9421-14CD5D8AD4A5}"/>
            </a:ext>
          </a:extLst>
        </xdr:cNvPr>
        <xdr:cNvSpPr/>
      </xdr:nvSpPr>
      <xdr:spPr>
        <a:xfrm>
          <a:off x="4343200" y="2827020"/>
          <a:ext cx="1708793" cy="373380"/>
        </a:xfrm>
        <a:prstGeom prst="flowChartTerminator">
          <a:avLst/>
        </a:prstGeom>
        <a:solidFill>
          <a:schemeClr val="accent1">
            <a:lumMod val="60000"/>
            <a:lumOff val="4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/>
            <a:t>Safety risk </a:t>
          </a:r>
          <a:r>
            <a:rPr lang="en-GB" sz="1100"/>
            <a:t> </a:t>
          </a:r>
        </a:p>
      </xdr:txBody>
    </xdr:sp>
    <xdr:clientData/>
  </xdr:twoCellAnchor>
  <xdr:twoCellAnchor editAs="oneCell">
    <xdr:from>
      <xdr:col>3</xdr:col>
      <xdr:colOff>571500</xdr:colOff>
      <xdr:row>24</xdr:row>
      <xdr:rowOff>22860</xdr:rowOff>
    </xdr:from>
    <xdr:to>
      <xdr:col>4</xdr:col>
      <xdr:colOff>259080</xdr:colOff>
      <xdr:row>26</xdr:row>
      <xdr:rowOff>20860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8BEF199D-39B5-4110-9FF8-3D4719A4A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179320" y="4381500"/>
          <a:ext cx="289560" cy="363760"/>
        </a:xfrm>
        <a:prstGeom prst="rect">
          <a:avLst/>
        </a:prstGeom>
      </xdr:spPr>
    </xdr:pic>
    <xdr:clientData/>
  </xdr:twoCellAnchor>
  <xdr:twoCellAnchor editAs="oneCell">
    <xdr:from>
      <xdr:col>16</xdr:col>
      <xdr:colOff>60960</xdr:colOff>
      <xdr:row>24</xdr:row>
      <xdr:rowOff>7620</xdr:rowOff>
    </xdr:from>
    <xdr:to>
      <xdr:col>18</xdr:col>
      <xdr:colOff>199241</xdr:colOff>
      <xdr:row>27</xdr:row>
      <xdr:rowOff>150315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8A4973D4-F387-4FC8-81A8-316A6238E7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433560" y="4366260"/>
          <a:ext cx="1128881" cy="691335"/>
        </a:xfrm>
        <a:prstGeom prst="rect">
          <a:avLst/>
        </a:prstGeom>
      </xdr:spPr>
    </xdr:pic>
    <xdr:clientData/>
  </xdr:twoCellAnchor>
  <xdr:twoCellAnchor editAs="oneCell">
    <xdr:from>
      <xdr:col>10</xdr:col>
      <xdr:colOff>21530</xdr:colOff>
      <xdr:row>36</xdr:row>
      <xdr:rowOff>47053</xdr:rowOff>
    </xdr:from>
    <xdr:to>
      <xdr:col>10</xdr:col>
      <xdr:colOff>396243</xdr:colOff>
      <xdr:row>42</xdr:row>
      <xdr:rowOff>679512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90E6590C-F0AF-4892-944F-F8EB85FDA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16200000">
          <a:off x="4914237" y="7315866"/>
          <a:ext cx="1729739" cy="374713"/>
        </a:xfrm>
        <a:prstGeom prst="rect">
          <a:avLst/>
        </a:prstGeom>
      </xdr:spPr>
    </xdr:pic>
    <xdr:clientData/>
  </xdr:twoCellAnchor>
  <xdr:twoCellAnchor editAs="oneCell">
    <xdr:from>
      <xdr:col>9</xdr:col>
      <xdr:colOff>240503</xdr:colOff>
      <xdr:row>34</xdr:row>
      <xdr:rowOff>68580</xdr:rowOff>
    </xdr:from>
    <xdr:to>
      <xdr:col>9</xdr:col>
      <xdr:colOff>510542</xdr:colOff>
      <xdr:row>42</xdr:row>
      <xdr:rowOff>768666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6C6AAA30-72E8-4B07-B768-335A9FFE44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16200000">
          <a:off x="4262200" y="7240663"/>
          <a:ext cx="2163126" cy="270039"/>
        </a:xfrm>
        <a:prstGeom prst="rect">
          <a:avLst/>
        </a:prstGeom>
      </xdr:spPr>
    </xdr:pic>
    <xdr:clientData/>
  </xdr:twoCellAnchor>
  <xdr:twoCellAnchor editAs="oneCell">
    <xdr:from>
      <xdr:col>12</xdr:col>
      <xdr:colOff>240085</xdr:colOff>
      <xdr:row>31</xdr:row>
      <xdr:rowOff>6822</xdr:rowOff>
    </xdr:from>
    <xdr:to>
      <xdr:col>12</xdr:col>
      <xdr:colOff>485775</xdr:colOff>
      <xdr:row>42</xdr:row>
      <xdr:rowOff>788670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xmlns="" id="{1A7A6D76-A94E-4235-AAF5-2D7F65B589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t="5881" b="71395"/>
        <a:stretch/>
      </xdr:blipFill>
      <xdr:spPr>
        <a:xfrm rot="16200000">
          <a:off x="5610806" y="6957641"/>
          <a:ext cx="2793528" cy="245690"/>
        </a:xfrm>
        <a:prstGeom prst="rect">
          <a:avLst/>
        </a:prstGeom>
      </xdr:spPr>
    </xdr:pic>
    <xdr:clientData/>
  </xdr:twoCellAnchor>
  <xdr:twoCellAnchor editAs="oneCell">
    <xdr:from>
      <xdr:col>11</xdr:col>
      <xdr:colOff>217179</xdr:colOff>
      <xdr:row>32</xdr:row>
      <xdr:rowOff>129542</xdr:rowOff>
    </xdr:from>
    <xdr:to>
      <xdr:col>11</xdr:col>
      <xdr:colOff>376532</xdr:colOff>
      <xdr:row>42</xdr:row>
      <xdr:rowOff>731520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FEA957E5-6685-4311-8F3E-339E147BAC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13193" t="6336" r="42544" b="83935"/>
        <a:stretch/>
      </xdr:blipFill>
      <xdr:spPr>
        <a:xfrm rot="16200000">
          <a:off x="5253667" y="7125034"/>
          <a:ext cx="2430778" cy="159353"/>
        </a:xfrm>
        <a:prstGeom prst="rect">
          <a:avLst/>
        </a:prstGeom>
      </xdr:spPr>
    </xdr:pic>
    <xdr:clientData/>
  </xdr:twoCellAnchor>
  <xdr:twoCellAnchor>
    <xdr:from>
      <xdr:col>14</xdr:col>
      <xdr:colOff>556260</xdr:colOff>
      <xdr:row>9</xdr:row>
      <xdr:rowOff>68580</xdr:rowOff>
    </xdr:from>
    <xdr:to>
      <xdr:col>16</xdr:col>
      <xdr:colOff>457200</xdr:colOff>
      <xdr:row>11</xdr:row>
      <xdr:rowOff>53340</xdr:rowOff>
    </xdr:to>
    <xdr:sp macro="" textlink="">
      <xdr:nvSpPr>
        <xdr:cNvPr id="20" name="Flowchart: Terminator 19">
          <a:extLst>
            <a:ext uri="{FF2B5EF4-FFF2-40B4-BE49-F238E27FC236}">
              <a16:creationId xmlns:a16="http://schemas.microsoft.com/office/drawing/2014/main" xmlns="" id="{779783F6-7EF1-42EA-B10A-C21A23AD6DDE}"/>
            </a:ext>
          </a:extLst>
        </xdr:cNvPr>
        <xdr:cNvSpPr/>
      </xdr:nvSpPr>
      <xdr:spPr>
        <a:xfrm>
          <a:off x="8572500" y="1569720"/>
          <a:ext cx="1257300" cy="365760"/>
        </a:xfrm>
        <a:prstGeom prst="flowChartTerminator">
          <a:avLst/>
        </a:prstGeom>
        <a:solidFill>
          <a:schemeClr val="accent6"/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/>
            <a:t>CHECK</a:t>
          </a:r>
          <a:r>
            <a:rPr lang="en-GB" sz="1100"/>
            <a:t> </a:t>
          </a:r>
        </a:p>
      </xdr:txBody>
    </xdr:sp>
    <xdr:clientData/>
  </xdr:twoCellAnchor>
  <xdr:twoCellAnchor editAs="oneCell">
    <xdr:from>
      <xdr:col>16</xdr:col>
      <xdr:colOff>556260</xdr:colOff>
      <xdr:row>8</xdr:row>
      <xdr:rowOff>175260</xdr:rowOff>
    </xdr:from>
    <xdr:to>
      <xdr:col>18</xdr:col>
      <xdr:colOff>76200</xdr:colOff>
      <xdr:row>11</xdr:row>
      <xdr:rowOff>137160</xdr:rowOff>
    </xdr:to>
    <xdr:pic>
      <xdr:nvPicPr>
        <xdr:cNvPr id="21" name="Graphic 20" descr="Share">
          <a:extLst>
            <a:ext uri="{FF2B5EF4-FFF2-40B4-BE49-F238E27FC236}">
              <a16:creationId xmlns:a16="http://schemas.microsoft.com/office/drawing/2014/main" xmlns="" id="{2296B25C-EA18-448C-A81E-3C408A9B8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3"/>
            </a:ext>
          </a:extLst>
        </a:blip>
        <a:stretch>
          <a:fillRect/>
        </a:stretch>
      </xdr:blipFill>
      <xdr:spPr>
        <a:xfrm>
          <a:off x="9928860" y="1485900"/>
          <a:ext cx="510540" cy="510540"/>
        </a:xfrm>
        <a:prstGeom prst="rect">
          <a:avLst/>
        </a:prstGeom>
      </xdr:spPr>
    </xdr:pic>
    <xdr:clientData/>
  </xdr:twoCellAnchor>
  <xdr:twoCellAnchor>
    <xdr:from>
      <xdr:col>15</xdr:col>
      <xdr:colOff>114300</xdr:colOff>
      <xdr:row>0</xdr:row>
      <xdr:rowOff>91440</xdr:rowOff>
    </xdr:from>
    <xdr:to>
      <xdr:col>16</xdr:col>
      <xdr:colOff>205740</xdr:colOff>
      <xdr:row>1</xdr:row>
      <xdr:rowOff>121920</xdr:rowOff>
    </xdr:to>
    <xdr:sp macro="" textlink="">
      <xdr:nvSpPr>
        <xdr:cNvPr id="23" name="Flowchart: Terminator 22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xmlns="" id="{A440D8AD-539F-4663-9B44-A4537480B01F}"/>
            </a:ext>
          </a:extLst>
        </xdr:cNvPr>
        <xdr:cNvSpPr/>
      </xdr:nvSpPr>
      <xdr:spPr>
        <a:xfrm>
          <a:off x="8884920" y="91440"/>
          <a:ext cx="693420" cy="220980"/>
        </a:xfrm>
        <a:prstGeom prst="flowChartTerminator">
          <a:avLst/>
        </a:prstGeom>
        <a:noFill/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 b="1"/>
            <a:t>back   </a:t>
          </a:r>
        </a:p>
      </xdr:txBody>
    </xdr:sp>
    <xdr:clientData/>
  </xdr:twoCellAnchor>
  <xdr:twoCellAnchor>
    <xdr:from>
      <xdr:col>7</xdr:col>
      <xdr:colOff>563880</xdr:colOff>
      <xdr:row>13</xdr:row>
      <xdr:rowOff>45720</xdr:rowOff>
    </xdr:from>
    <xdr:to>
      <xdr:col>10</xdr:col>
      <xdr:colOff>511702</xdr:colOff>
      <xdr:row>15</xdr:row>
      <xdr:rowOff>30480</xdr:rowOff>
    </xdr:to>
    <xdr:sp macro="" textlink="">
      <xdr:nvSpPr>
        <xdr:cNvPr id="22" name="Flowchart: Terminator 21">
          <a:extLst>
            <a:ext uri="{FF2B5EF4-FFF2-40B4-BE49-F238E27FC236}">
              <a16:creationId xmlns:a16="http://schemas.microsoft.com/office/drawing/2014/main" xmlns="" id="{4656F809-E373-4B83-B9A2-374C672F05E6}"/>
            </a:ext>
          </a:extLst>
        </xdr:cNvPr>
        <xdr:cNvSpPr/>
      </xdr:nvSpPr>
      <xdr:spPr>
        <a:xfrm>
          <a:off x="4328160" y="2308860"/>
          <a:ext cx="1753762" cy="365760"/>
        </a:xfrm>
        <a:prstGeom prst="flowChartTerminator">
          <a:avLst/>
        </a:prstGeom>
        <a:solidFill>
          <a:schemeClr val="accent1">
            <a:lumMod val="60000"/>
            <a:lumOff val="4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/>
            <a:t>Description</a:t>
          </a:r>
          <a:r>
            <a:rPr lang="en-GB" sz="1600" baseline="0"/>
            <a:t> </a:t>
          </a:r>
          <a:r>
            <a:rPr lang="en-GB" sz="1100"/>
            <a:t> 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350520</xdr:colOff>
      <xdr:row>0</xdr:row>
      <xdr:rowOff>0</xdr:rowOff>
    </xdr:from>
    <xdr:to>
      <xdr:col>2</xdr:col>
      <xdr:colOff>388620</xdr:colOff>
      <xdr:row>2</xdr:row>
      <xdr:rowOff>76200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DDE84DEF-E6C6-41EB-BB60-772691916C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/>
        <a:srcRect t="4629"/>
        <a:stretch/>
      </xdr:blipFill>
      <xdr:spPr>
        <a:xfrm>
          <a:off x="708660" y="998221"/>
          <a:ext cx="396240" cy="426720"/>
        </a:xfrm>
        <a:prstGeom prst="rect">
          <a:avLst/>
        </a:prstGeom>
      </xdr:spPr>
    </xdr:pic>
    <xdr:clientData/>
  </xdr:twoCellAnchor>
  <xdr:twoCellAnchor editAs="oneCell">
    <xdr:from>
      <xdr:col>2</xdr:col>
      <xdr:colOff>556260</xdr:colOff>
      <xdr:row>0</xdr:row>
      <xdr:rowOff>0</xdr:rowOff>
    </xdr:from>
    <xdr:to>
      <xdr:col>3</xdr:col>
      <xdr:colOff>106680</xdr:colOff>
      <xdr:row>2</xdr:row>
      <xdr:rowOff>91440</xdr:rowOff>
    </xdr:to>
    <xdr:pic>
      <xdr:nvPicPr>
        <xdr:cNvPr id="6" name="Graphic 5" descr="Open Folder">
          <a:extLst>
            <a:ext uri="{FF2B5EF4-FFF2-40B4-BE49-F238E27FC236}">
              <a16:creationId xmlns:a16="http://schemas.microsoft.com/office/drawing/2014/main" xmlns="" id="{369437B8-25C5-4690-A95E-161B8A733D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1272540" y="982980"/>
          <a:ext cx="441960" cy="441960"/>
        </a:xfrm>
        <a:prstGeom prst="rect">
          <a:avLst/>
        </a:prstGeom>
      </xdr:spPr>
    </xdr:pic>
    <xdr:clientData/>
  </xdr:twoCellAnchor>
  <xdr:twoCellAnchor editAs="oneCell">
    <xdr:from>
      <xdr:col>16</xdr:col>
      <xdr:colOff>60960</xdr:colOff>
      <xdr:row>0</xdr:row>
      <xdr:rowOff>0</xdr:rowOff>
    </xdr:from>
    <xdr:to>
      <xdr:col>17</xdr:col>
      <xdr:colOff>587861</xdr:colOff>
      <xdr:row>3</xdr:row>
      <xdr:rowOff>142695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33FCEE62-4D3A-457B-B768-9548D2DAB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33560" y="4366260"/>
          <a:ext cx="1128881" cy="668475"/>
        </a:xfrm>
        <a:prstGeom prst="rect">
          <a:avLst/>
        </a:prstGeom>
      </xdr:spPr>
    </xdr:pic>
    <xdr:clientData/>
  </xdr:twoCellAnchor>
  <xdr:twoCellAnchor editAs="oneCell">
    <xdr:from>
      <xdr:col>16</xdr:col>
      <xdr:colOff>541020</xdr:colOff>
      <xdr:row>0</xdr:row>
      <xdr:rowOff>0</xdr:rowOff>
    </xdr:from>
    <xdr:to>
      <xdr:col>17</xdr:col>
      <xdr:colOff>449580</xdr:colOff>
      <xdr:row>2</xdr:row>
      <xdr:rowOff>144780</xdr:rowOff>
    </xdr:to>
    <xdr:pic>
      <xdr:nvPicPr>
        <xdr:cNvPr id="23" name="Graphic 22" descr="Share">
          <a:extLst>
            <a:ext uri="{FF2B5EF4-FFF2-40B4-BE49-F238E27FC236}">
              <a16:creationId xmlns:a16="http://schemas.microsoft.com/office/drawing/2014/main" xmlns="" id="{5FF9E2AD-A27D-4D77-A6E2-256C7DBD9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7"/>
            </a:ext>
          </a:extLst>
        </a:blip>
        <a:stretch>
          <a:fillRect/>
        </a:stretch>
      </xdr:blipFill>
      <xdr:spPr>
        <a:xfrm>
          <a:off x="9913620" y="1524000"/>
          <a:ext cx="510540" cy="51054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2</xdr:row>
      <xdr:rowOff>0</xdr:rowOff>
    </xdr:from>
    <xdr:to>
      <xdr:col>13</xdr:col>
      <xdr:colOff>143837</xdr:colOff>
      <xdr:row>27</xdr:row>
      <xdr:rowOff>79374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DFB98895-169C-47EF-B374-9C2EB76C1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240" y="365760"/>
          <a:ext cx="7542857" cy="5085714"/>
        </a:xfrm>
        <a:prstGeom prst="rect">
          <a:avLst/>
        </a:prstGeom>
      </xdr:spPr>
    </xdr:pic>
    <xdr:clientData/>
  </xdr:twoCellAnchor>
  <xdr:twoCellAnchor>
    <xdr:from>
      <xdr:col>1</xdr:col>
      <xdr:colOff>7620</xdr:colOff>
      <xdr:row>2</xdr:row>
      <xdr:rowOff>91440</xdr:rowOff>
    </xdr:from>
    <xdr:to>
      <xdr:col>5</xdr:col>
      <xdr:colOff>274320</xdr:colOff>
      <xdr:row>3</xdr:row>
      <xdr:rowOff>99060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xmlns="" id="{4DDEB4C2-898F-487C-A098-A4CF66669953}"/>
            </a:ext>
          </a:extLst>
        </xdr:cNvPr>
        <xdr:cNvSpPr/>
      </xdr:nvSpPr>
      <xdr:spPr>
        <a:xfrm>
          <a:off x="365760" y="9974580"/>
          <a:ext cx="2545080" cy="190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aseline="0"/>
            <a:t>Damaged</a:t>
          </a:r>
          <a:endParaRPr lang="en-GB" sz="1100"/>
        </a:p>
      </xdr:txBody>
    </xdr:sp>
    <xdr:clientData/>
  </xdr:twoCellAnchor>
  <xdr:twoCellAnchor editAs="oneCell">
    <xdr:from>
      <xdr:col>22</xdr:col>
      <xdr:colOff>320040</xdr:colOff>
      <xdr:row>0</xdr:row>
      <xdr:rowOff>0</xdr:rowOff>
    </xdr:from>
    <xdr:to>
      <xdr:col>23</xdr:col>
      <xdr:colOff>319964</xdr:colOff>
      <xdr:row>1</xdr:row>
      <xdr:rowOff>179025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3C569BAF-5F54-46DC-AF3E-99EE8F1406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900660" y="6126480"/>
          <a:ext cx="609524" cy="3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14</xdr:row>
      <xdr:rowOff>175260</xdr:rowOff>
    </xdr:from>
    <xdr:to>
      <xdr:col>7</xdr:col>
      <xdr:colOff>243840</xdr:colOff>
      <xdr:row>18</xdr:row>
      <xdr:rowOff>1984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8EDBF618-564D-40AA-B61C-A56AB143C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" y="2987040"/>
          <a:ext cx="3931920" cy="733504"/>
        </a:xfrm>
        <a:prstGeom prst="rect">
          <a:avLst/>
        </a:prstGeom>
      </xdr:spPr>
    </xdr:pic>
    <xdr:clientData/>
  </xdr:twoCellAnchor>
  <xdr:twoCellAnchor editAs="oneCell">
    <xdr:from>
      <xdr:col>22</xdr:col>
      <xdr:colOff>312420</xdr:colOff>
      <xdr:row>0</xdr:row>
      <xdr:rowOff>0</xdr:rowOff>
    </xdr:from>
    <xdr:to>
      <xdr:col>23</xdr:col>
      <xdr:colOff>312344</xdr:colOff>
      <xdr:row>1</xdr:row>
      <xdr:rowOff>179025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xmlns="" id="{467BD98C-630E-408D-8A7B-9F3F56A72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893040" y="6545580"/>
          <a:ext cx="609524" cy="3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16</xdr:row>
      <xdr:rowOff>236221</xdr:rowOff>
    </xdr:from>
    <xdr:to>
      <xdr:col>6</xdr:col>
      <xdr:colOff>357688</xdr:colOff>
      <xdr:row>22</xdr:row>
      <xdr:rowOff>76201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7EFB552D-65BB-4DEE-B21D-3E510B8281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8001" b="23370"/>
        <a:stretch/>
      </xdr:blipFill>
      <xdr:spPr>
        <a:xfrm>
          <a:off x="190500" y="3497581"/>
          <a:ext cx="3329488" cy="1036320"/>
        </a:xfrm>
        <a:prstGeom prst="rect">
          <a:avLst/>
        </a:prstGeom>
      </xdr:spPr>
    </xdr:pic>
    <xdr:clientData/>
  </xdr:twoCellAnchor>
  <xdr:twoCellAnchor>
    <xdr:from>
      <xdr:col>15</xdr:col>
      <xdr:colOff>220980</xdr:colOff>
      <xdr:row>10</xdr:row>
      <xdr:rowOff>137160</xdr:rowOff>
    </xdr:from>
    <xdr:to>
      <xdr:col>15</xdr:col>
      <xdr:colOff>342900</xdr:colOff>
      <xdr:row>11</xdr:row>
      <xdr:rowOff>91440</xdr:rowOff>
    </xdr:to>
    <xdr:sp macro="" textlink="">
      <xdr:nvSpPr>
        <xdr:cNvPr id="38" name="Flowchart: Connector 37">
          <a:extLst>
            <a:ext uri="{FF2B5EF4-FFF2-40B4-BE49-F238E27FC236}">
              <a16:creationId xmlns:a16="http://schemas.microsoft.com/office/drawing/2014/main" xmlns="" id="{F098CD00-3404-4D50-ACF0-D965D3977E14}"/>
            </a:ext>
          </a:extLst>
        </xdr:cNvPr>
        <xdr:cNvSpPr/>
      </xdr:nvSpPr>
      <xdr:spPr>
        <a:xfrm>
          <a:off x="579120" y="3543300"/>
          <a:ext cx="121920" cy="144780"/>
        </a:xfrm>
        <a:prstGeom prst="flowChartConnector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220980</xdr:colOff>
      <xdr:row>12</xdr:row>
      <xdr:rowOff>144780</xdr:rowOff>
    </xdr:from>
    <xdr:to>
      <xdr:col>15</xdr:col>
      <xdr:colOff>342900</xdr:colOff>
      <xdr:row>13</xdr:row>
      <xdr:rowOff>99060</xdr:rowOff>
    </xdr:to>
    <xdr:sp macro="" textlink="">
      <xdr:nvSpPr>
        <xdr:cNvPr id="39" name="Flowchart: Connector 38">
          <a:extLst>
            <a:ext uri="{FF2B5EF4-FFF2-40B4-BE49-F238E27FC236}">
              <a16:creationId xmlns:a16="http://schemas.microsoft.com/office/drawing/2014/main" xmlns="" id="{BE526638-DB59-4AC5-B347-ACAE67890FE5}"/>
            </a:ext>
          </a:extLst>
        </xdr:cNvPr>
        <xdr:cNvSpPr/>
      </xdr:nvSpPr>
      <xdr:spPr>
        <a:xfrm>
          <a:off x="579120" y="3931920"/>
          <a:ext cx="121920" cy="144780"/>
        </a:xfrm>
        <a:prstGeom prst="flowChartConnector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213360</xdr:colOff>
      <xdr:row>14</xdr:row>
      <xdr:rowOff>121920</xdr:rowOff>
    </xdr:from>
    <xdr:to>
      <xdr:col>15</xdr:col>
      <xdr:colOff>335280</xdr:colOff>
      <xdr:row>15</xdr:row>
      <xdr:rowOff>76200</xdr:rowOff>
    </xdr:to>
    <xdr:sp macro="" textlink="">
      <xdr:nvSpPr>
        <xdr:cNvPr id="40" name="Flowchart: Connector 39">
          <a:extLst>
            <a:ext uri="{FF2B5EF4-FFF2-40B4-BE49-F238E27FC236}">
              <a16:creationId xmlns:a16="http://schemas.microsoft.com/office/drawing/2014/main" xmlns="" id="{0AD95C90-6184-42AF-BBF3-A67CBDFA2CBC}"/>
            </a:ext>
          </a:extLst>
        </xdr:cNvPr>
        <xdr:cNvSpPr/>
      </xdr:nvSpPr>
      <xdr:spPr>
        <a:xfrm>
          <a:off x="571500" y="4290060"/>
          <a:ext cx="121920" cy="144780"/>
        </a:xfrm>
        <a:prstGeom prst="flowChartConnector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228600</xdr:colOff>
      <xdr:row>16</xdr:row>
      <xdr:rowOff>129540</xdr:rowOff>
    </xdr:from>
    <xdr:to>
      <xdr:col>15</xdr:col>
      <xdr:colOff>350520</xdr:colOff>
      <xdr:row>17</xdr:row>
      <xdr:rowOff>83820</xdr:rowOff>
    </xdr:to>
    <xdr:sp macro="" textlink="">
      <xdr:nvSpPr>
        <xdr:cNvPr id="41" name="Flowchart: Connector 40">
          <a:extLst>
            <a:ext uri="{FF2B5EF4-FFF2-40B4-BE49-F238E27FC236}">
              <a16:creationId xmlns:a16="http://schemas.microsoft.com/office/drawing/2014/main" xmlns="" id="{A25FD915-63EC-415B-ABD1-902CE95E8ADA}"/>
            </a:ext>
          </a:extLst>
        </xdr:cNvPr>
        <xdr:cNvSpPr/>
      </xdr:nvSpPr>
      <xdr:spPr>
        <a:xfrm>
          <a:off x="586740" y="4678680"/>
          <a:ext cx="121920" cy="144780"/>
        </a:xfrm>
        <a:prstGeom prst="flowChartConnector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342900</xdr:colOff>
      <xdr:row>10</xdr:row>
      <xdr:rowOff>137160</xdr:rowOff>
    </xdr:from>
    <xdr:to>
      <xdr:col>19</xdr:col>
      <xdr:colOff>38100</xdr:colOff>
      <xdr:row>11</xdr:row>
      <xdr:rowOff>91440</xdr:rowOff>
    </xdr:to>
    <xdr:sp macro="" textlink="">
      <xdr:nvSpPr>
        <xdr:cNvPr id="42" name="Flowchart: Connector 41">
          <a:extLst>
            <a:ext uri="{FF2B5EF4-FFF2-40B4-BE49-F238E27FC236}">
              <a16:creationId xmlns:a16="http://schemas.microsoft.com/office/drawing/2014/main" xmlns="" id="{82D80A4E-3959-4B2D-A50B-A7390CFC8199}"/>
            </a:ext>
          </a:extLst>
        </xdr:cNvPr>
        <xdr:cNvSpPr/>
      </xdr:nvSpPr>
      <xdr:spPr>
        <a:xfrm>
          <a:off x="2552700" y="3543300"/>
          <a:ext cx="121920" cy="144780"/>
        </a:xfrm>
        <a:prstGeom prst="flowChartConnector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335280</xdr:colOff>
      <xdr:row>14</xdr:row>
      <xdr:rowOff>121920</xdr:rowOff>
    </xdr:from>
    <xdr:to>
      <xdr:col>19</xdr:col>
      <xdr:colOff>30480</xdr:colOff>
      <xdr:row>15</xdr:row>
      <xdr:rowOff>76200</xdr:rowOff>
    </xdr:to>
    <xdr:sp macro="" textlink="">
      <xdr:nvSpPr>
        <xdr:cNvPr id="43" name="Flowchart: Connector 42">
          <a:extLst>
            <a:ext uri="{FF2B5EF4-FFF2-40B4-BE49-F238E27FC236}">
              <a16:creationId xmlns:a16="http://schemas.microsoft.com/office/drawing/2014/main" xmlns="" id="{0031B979-01E9-44BD-99AE-2E57F6823E25}"/>
            </a:ext>
          </a:extLst>
        </xdr:cNvPr>
        <xdr:cNvSpPr/>
      </xdr:nvSpPr>
      <xdr:spPr>
        <a:xfrm>
          <a:off x="2545080" y="4290060"/>
          <a:ext cx="121920" cy="144780"/>
        </a:xfrm>
        <a:prstGeom prst="flowChartConnector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327660</xdr:colOff>
      <xdr:row>12</xdr:row>
      <xdr:rowOff>144780</xdr:rowOff>
    </xdr:from>
    <xdr:to>
      <xdr:col>19</xdr:col>
      <xdr:colOff>22860</xdr:colOff>
      <xdr:row>13</xdr:row>
      <xdr:rowOff>99060</xdr:rowOff>
    </xdr:to>
    <xdr:sp macro="" textlink="">
      <xdr:nvSpPr>
        <xdr:cNvPr id="44" name="Flowchart: Connector 43">
          <a:extLst>
            <a:ext uri="{FF2B5EF4-FFF2-40B4-BE49-F238E27FC236}">
              <a16:creationId xmlns:a16="http://schemas.microsoft.com/office/drawing/2014/main" xmlns="" id="{9ADD8D2E-C5F5-493C-8A25-95122A9CB9C0}"/>
            </a:ext>
          </a:extLst>
        </xdr:cNvPr>
        <xdr:cNvSpPr/>
      </xdr:nvSpPr>
      <xdr:spPr>
        <a:xfrm>
          <a:off x="2537460" y="3931920"/>
          <a:ext cx="121920" cy="144780"/>
        </a:xfrm>
        <a:prstGeom prst="flowChartConnector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335280</xdr:colOff>
      <xdr:row>16</xdr:row>
      <xdr:rowOff>129540</xdr:rowOff>
    </xdr:from>
    <xdr:to>
      <xdr:col>19</xdr:col>
      <xdr:colOff>30480</xdr:colOff>
      <xdr:row>17</xdr:row>
      <xdr:rowOff>83820</xdr:rowOff>
    </xdr:to>
    <xdr:sp macro="" textlink="">
      <xdr:nvSpPr>
        <xdr:cNvPr id="45" name="Flowchart: Connector 44">
          <a:extLst>
            <a:ext uri="{FF2B5EF4-FFF2-40B4-BE49-F238E27FC236}">
              <a16:creationId xmlns:a16="http://schemas.microsoft.com/office/drawing/2014/main" xmlns="" id="{FAAD6B06-7D88-440C-94A3-54A7B475B23C}"/>
            </a:ext>
          </a:extLst>
        </xdr:cNvPr>
        <xdr:cNvSpPr/>
      </xdr:nvSpPr>
      <xdr:spPr>
        <a:xfrm>
          <a:off x="2545080" y="4678680"/>
          <a:ext cx="121920" cy="144780"/>
        </a:xfrm>
        <a:prstGeom prst="flowChartConnector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129540</xdr:colOff>
      <xdr:row>8</xdr:row>
      <xdr:rowOff>167640</xdr:rowOff>
    </xdr:from>
    <xdr:to>
      <xdr:col>18</xdr:col>
      <xdr:colOff>205740</xdr:colOff>
      <xdr:row>18</xdr:row>
      <xdr:rowOff>15240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xmlns="" id="{E9A2C543-B4CE-4C08-BFA5-E26208C4D568}"/>
            </a:ext>
          </a:extLst>
        </xdr:cNvPr>
        <xdr:cNvSpPr/>
      </xdr:nvSpPr>
      <xdr:spPr>
        <a:xfrm>
          <a:off x="8900160" y="1630680"/>
          <a:ext cx="1668780" cy="2103120"/>
        </a:xfrm>
        <a:prstGeom prst="rect">
          <a:avLst/>
        </a:prstGeom>
        <a:noFill/>
        <a:ln w="2222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845820</xdr:colOff>
      <xdr:row>16</xdr:row>
      <xdr:rowOff>99060</xdr:rowOff>
    </xdr:from>
    <xdr:to>
      <xdr:col>17</xdr:col>
      <xdr:colOff>533400</xdr:colOff>
      <xdr:row>17</xdr:row>
      <xdr:rowOff>114300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xmlns="" id="{B764D0FC-11D6-42FB-AE9F-50AE146E6723}"/>
            </a:ext>
          </a:extLst>
        </xdr:cNvPr>
        <xdr:cNvSpPr/>
      </xdr:nvSpPr>
      <xdr:spPr>
        <a:xfrm>
          <a:off x="1562100" y="4648200"/>
          <a:ext cx="579120" cy="205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20</xdr:col>
      <xdr:colOff>381000</xdr:colOff>
      <xdr:row>16</xdr:row>
      <xdr:rowOff>83820</xdr:rowOff>
    </xdr:from>
    <xdr:to>
      <xdr:col>21</xdr:col>
      <xdr:colOff>358140</xdr:colOff>
      <xdr:row>17</xdr:row>
      <xdr:rowOff>99060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xmlns="" id="{B5477996-AB90-4FAA-A5F5-64F1A0311CCD}"/>
            </a:ext>
          </a:extLst>
        </xdr:cNvPr>
        <xdr:cNvSpPr/>
      </xdr:nvSpPr>
      <xdr:spPr>
        <a:xfrm>
          <a:off x="3543300" y="4632960"/>
          <a:ext cx="579120" cy="205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15240</xdr:colOff>
      <xdr:row>48</xdr:row>
      <xdr:rowOff>121920</xdr:rowOff>
    </xdr:from>
    <xdr:to>
      <xdr:col>4</xdr:col>
      <xdr:colOff>350520</xdr:colOff>
      <xdr:row>52</xdr:row>
      <xdr:rowOff>68580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xmlns="" id="{BBF1E1F2-0875-46C4-A8F4-C5D8E0A81543}"/>
            </a:ext>
          </a:extLst>
        </xdr:cNvPr>
        <xdr:cNvSpPr/>
      </xdr:nvSpPr>
      <xdr:spPr>
        <a:xfrm>
          <a:off x="15240" y="9883140"/>
          <a:ext cx="2545080" cy="678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bg1">
                  <a:lumMod val="75000"/>
                </a:schemeClr>
              </a:solidFill>
            </a:rPr>
            <a:t>Siempre visible </a:t>
          </a:r>
          <a:r>
            <a:rPr lang="en-GB" sz="1100" baseline="0"/>
            <a:t>"Insulation in cold systems is critical not only for energy efficiency but for safety and process requirements </a:t>
          </a:r>
          <a:endParaRPr lang="en-GB" sz="1100"/>
        </a:p>
      </xdr:txBody>
    </xdr:sp>
    <xdr:clientData/>
  </xdr:twoCellAnchor>
  <xdr:twoCellAnchor>
    <xdr:from>
      <xdr:col>7</xdr:col>
      <xdr:colOff>274320</xdr:colOff>
      <xdr:row>16</xdr:row>
      <xdr:rowOff>198120</xdr:rowOff>
    </xdr:from>
    <xdr:to>
      <xdr:col>12</xdr:col>
      <xdr:colOff>541020</xdr:colOff>
      <xdr:row>19</xdr:row>
      <xdr:rowOff>175260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xmlns="" id="{2A3A3904-B33B-48FE-B92C-FC9D08FE88F4}"/>
            </a:ext>
          </a:extLst>
        </xdr:cNvPr>
        <xdr:cNvSpPr/>
      </xdr:nvSpPr>
      <xdr:spPr>
        <a:xfrm>
          <a:off x="4038600" y="3459480"/>
          <a:ext cx="3147060" cy="6248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bg1">
                  <a:lumMod val="75000"/>
                </a:schemeClr>
              </a:solidFill>
            </a:rPr>
            <a:t>Siempre visible if </a:t>
          </a:r>
          <a:r>
            <a:rPr lang="en-GB" sz="1100">
              <a:solidFill>
                <a:srgbClr val="FF0000"/>
              </a:solidFill>
            </a:rPr>
            <a:t>damaged cladding </a:t>
          </a:r>
          <a:r>
            <a:rPr lang="en-GB" sz="1100">
              <a:solidFill>
                <a:schemeClr val="bg1">
                  <a:lumMod val="75000"/>
                </a:schemeClr>
              </a:solidFill>
            </a:rPr>
            <a:t>is selected  </a:t>
          </a:r>
          <a:r>
            <a:rPr lang="en-GB" sz="1100" baseline="0"/>
            <a:t>"Cladding holds insualtion in place an protect it from external agents ensuring its performance"</a:t>
          </a:r>
          <a:endParaRPr lang="en-GB" sz="1100"/>
        </a:p>
      </xdr:txBody>
    </xdr:sp>
    <xdr:clientData/>
  </xdr:twoCellAnchor>
  <xdr:twoCellAnchor>
    <xdr:from>
      <xdr:col>6</xdr:col>
      <xdr:colOff>525780</xdr:colOff>
      <xdr:row>21</xdr:row>
      <xdr:rowOff>167640</xdr:rowOff>
    </xdr:from>
    <xdr:to>
      <xdr:col>12</xdr:col>
      <xdr:colOff>190500</xdr:colOff>
      <xdr:row>25</xdr:row>
      <xdr:rowOff>144780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xmlns="" id="{C2903805-A58F-4B27-B2CB-3A2842D496CE}"/>
            </a:ext>
          </a:extLst>
        </xdr:cNvPr>
        <xdr:cNvSpPr/>
      </xdr:nvSpPr>
      <xdr:spPr>
        <a:xfrm>
          <a:off x="3688080" y="4442460"/>
          <a:ext cx="3147060" cy="7086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bg1">
                  <a:lumMod val="75000"/>
                </a:schemeClr>
              </a:solidFill>
            </a:rPr>
            <a:t>Siempre visible if </a:t>
          </a:r>
          <a:r>
            <a:rPr lang="en-GB" sz="1100">
              <a:solidFill>
                <a:srgbClr val="FF0000"/>
              </a:solidFill>
            </a:rPr>
            <a:t>damaged insualtion</a:t>
          </a:r>
          <a:r>
            <a:rPr lang="en-GB" sz="1100" baseline="0">
              <a:solidFill>
                <a:srgbClr val="FF0000"/>
              </a:solidFill>
            </a:rPr>
            <a:t> </a:t>
          </a:r>
          <a:r>
            <a:rPr lang="en-GB" sz="1100">
              <a:solidFill>
                <a:srgbClr val="FF0000"/>
              </a:solidFill>
            </a:rPr>
            <a:t>is </a:t>
          </a:r>
          <a:r>
            <a:rPr lang="en-GB" sz="1100">
              <a:solidFill>
                <a:schemeClr val="bg1">
                  <a:lumMod val="75000"/>
                </a:schemeClr>
              </a:solidFill>
            </a:rPr>
            <a:t>selected  </a:t>
          </a:r>
          <a:r>
            <a:rPr lang="en-GB" sz="1100" baseline="0"/>
            <a:t>"Any damage in the insulant leads to reduce its thermal performance and to increase the energy consumption"</a:t>
          </a:r>
          <a:endParaRPr lang="en-GB" sz="1100"/>
        </a:p>
      </xdr:txBody>
    </xdr:sp>
    <xdr:clientData/>
  </xdr:twoCellAnchor>
  <xdr:twoCellAnchor>
    <xdr:from>
      <xdr:col>4</xdr:col>
      <xdr:colOff>381000</xdr:colOff>
      <xdr:row>6</xdr:row>
      <xdr:rowOff>175260</xdr:rowOff>
    </xdr:from>
    <xdr:to>
      <xdr:col>13</xdr:col>
      <xdr:colOff>495300</xdr:colOff>
      <xdr:row>15</xdr:row>
      <xdr:rowOff>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xmlns="" id="{CBA2396F-6C92-4FD7-B36A-A3FACC7E83FD}"/>
            </a:ext>
          </a:extLst>
        </xdr:cNvPr>
        <xdr:cNvCxnSpPr/>
      </xdr:nvCxnSpPr>
      <xdr:spPr>
        <a:xfrm flipV="1">
          <a:off x="2590800" y="1272540"/>
          <a:ext cx="5318760" cy="18059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91440</xdr:colOff>
      <xdr:row>9</xdr:row>
      <xdr:rowOff>7620</xdr:rowOff>
    </xdr:from>
    <xdr:to>
      <xdr:col>14</xdr:col>
      <xdr:colOff>7620</xdr:colOff>
      <xdr:row>18</xdr:row>
      <xdr:rowOff>83820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xmlns="" id="{33BB1969-0785-4509-9565-29248DFA7F0E}"/>
            </a:ext>
          </a:extLst>
        </xdr:cNvPr>
        <xdr:cNvCxnSpPr/>
      </xdr:nvCxnSpPr>
      <xdr:spPr>
        <a:xfrm flipV="1">
          <a:off x="2727960" y="1653540"/>
          <a:ext cx="5295900" cy="21488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281940</xdr:colOff>
      <xdr:row>18</xdr:row>
      <xdr:rowOff>160020</xdr:rowOff>
    </xdr:from>
    <xdr:to>
      <xdr:col>16</xdr:col>
      <xdr:colOff>396240</xdr:colOff>
      <xdr:row>28</xdr:row>
      <xdr:rowOff>76200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xmlns="" id="{C486F4A9-41FF-4892-AA62-5CD879054D14}"/>
            </a:ext>
          </a:extLst>
        </xdr:cNvPr>
        <xdr:cNvCxnSpPr/>
      </xdr:nvCxnSpPr>
      <xdr:spPr>
        <a:xfrm flipH="1">
          <a:off x="7696200" y="3878580"/>
          <a:ext cx="2072640" cy="1752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723900</xdr:colOff>
      <xdr:row>18</xdr:row>
      <xdr:rowOff>121920</xdr:rowOff>
    </xdr:from>
    <xdr:to>
      <xdr:col>20</xdr:col>
      <xdr:colOff>121920</xdr:colOff>
      <xdr:row>40</xdr:row>
      <xdr:rowOff>137160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xmlns="" id="{8605A3D4-B4CB-4DCE-955E-02FF947D89FD}"/>
            </a:ext>
          </a:extLst>
        </xdr:cNvPr>
        <xdr:cNvCxnSpPr/>
      </xdr:nvCxnSpPr>
      <xdr:spPr>
        <a:xfrm flipH="1">
          <a:off x="8740140" y="3840480"/>
          <a:ext cx="3695700" cy="40462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58913</xdr:colOff>
      <xdr:row>2</xdr:row>
      <xdr:rowOff>148897</xdr:rowOff>
    </xdr:from>
    <xdr:to>
      <xdr:col>3</xdr:col>
      <xdr:colOff>480060</xdr:colOff>
      <xdr:row>6</xdr:row>
      <xdr:rowOff>138290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FC085C40-F024-4678-BA32-A032D05FB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66633" y="560377"/>
          <a:ext cx="954547" cy="720913"/>
        </a:xfrm>
        <a:prstGeom prst="rect">
          <a:avLst/>
        </a:prstGeom>
        <a:ln w="63500">
          <a:noFill/>
        </a:ln>
        <a:effectLst>
          <a:softEdge rad="76200"/>
        </a:effectLst>
      </xdr:spPr>
    </xdr:pic>
    <xdr:clientData/>
  </xdr:twoCellAnchor>
  <xdr:twoCellAnchor>
    <xdr:from>
      <xdr:col>22</xdr:col>
      <xdr:colOff>458728</xdr:colOff>
      <xdr:row>28</xdr:row>
      <xdr:rowOff>23453</xdr:rowOff>
    </xdr:from>
    <xdr:to>
      <xdr:col>25</xdr:col>
      <xdr:colOff>198110</xdr:colOff>
      <xdr:row>31</xdr:row>
      <xdr:rowOff>121144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xmlns="" id="{758BCCA9-B9E4-4794-A8D5-456882380248}"/>
            </a:ext>
          </a:extLst>
        </xdr:cNvPr>
        <xdr:cNvSpPr txBox="1"/>
      </xdr:nvSpPr>
      <xdr:spPr>
        <a:xfrm>
          <a:off x="12018268" y="5395553"/>
          <a:ext cx="1568182" cy="64633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b="1">
              <a:solidFill>
                <a:schemeClr val="bg1"/>
              </a:solidFill>
            </a:rPr>
            <a:t>DAMAGE INSULATION </a:t>
          </a:r>
        </a:p>
      </xdr:txBody>
    </xdr:sp>
    <xdr:clientData/>
  </xdr:twoCellAnchor>
  <xdr:twoCellAnchor editAs="oneCell">
    <xdr:from>
      <xdr:col>5</xdr:col>
      <xdr:colOff>99061</xdr:colOff>
      <xdr:row>3</xdr:row>
      <xdr:rowOff>0</xdr:rowOff>
    </xdr:from>
    <xdr:to>
      <xdr:col>6</xdr:col>
      <xdr:colOff>469360</xdr:colOff>
      <xdr:row>6</xdr:row>
      <xdr:rowOff>160019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52F58524-4818-4DE2-A0FA-D5FDA369F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06981" y="586740"/>
          <a:ext cx="903699" cy="708659"/>
        </a:xfrm>
        <a:prstGeom prst="rect">
          <a:avLst/>
        </a:prstGeom>
        <a:ln w="57150">
          <a:noFill/>
        </a:ln>
        <a:effectLst>
          <a:softEdge rad="76200"/>
        </a:effectLst>
      </xdr:spPr>
    </xdr:pic>
    <xdr:clientData/>
  </xdr:twoCellAnchor>
  <xdr:twoCellAnchor editAs="oneCell">
    <xdr:from>
      <xdr:col>1</xdr:col>
      <xdr:colOff>76200</xdr:colOff>
      <xdr:row>1</xdr:row>
      <xdr:rowOff>121920</xdr:rowOff>
    </xdr:from>
    <xdr:to>
      <xdr:col>5</xdr:col>
      <xdr:colOff>409267</xdr:colOff>
      <xdr:row>3</xdr:row>
      <xdr:rowOff>3779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4E672D51-3C87-41E4-8CAF-EF9817DE4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0520" y="304800"/>
          <a:ext cx="2466667" cy="2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91440</xdr:colOff>
      <xdr:row>9</xdr:row>
      <xdr:rowOff>205740</xdr:rowOff>
    </xdr:from>
    <xdr:to>
      <xdr:col>5</xdr:col>
      <xdr:colOff>99060</xdr:colOff>
      <xdr:row>11</xdr:row>
      <xdr:rowOff>45720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2B3333CB-72D3-4D0E-9CA1-A4DF134CC8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10069" b="-4360"/>
        <a:stretch/>
      </xdr:blipFill>
      <xdr:spPr>
        <a:xfrm>
          <a:off x="365760" y="1844040"/>
          <a:ext cx="2141220" cy="228600"/>
        </a:xfrm>
        <a:prstGeom prst="rect">
          <a:avLst/>
        </a:prstGeom>
      </xdr:spPr>
    </xdr:pic>
    <xdr:clientData/>
  </xdr:twoCellAnchor>
  <xdr:twoCellAnchor editAs="oneCell">
    <xdr:from>
      <xdr:col>15</xdr:col>
      <xdr:colOff>22860</xdr:colOff>
      <xdr:row>21</xdr:row>
      <xdr:rowOff>99060</xdr:rowOff>
    </xdr:from>
    <xdr:to>
      <xdr:col>17</xdr:col>
      <xdr:colOff>84941</xdr:colOff>
      <xdr:row>25</xdr:row>
      <xdr:rowOff>43635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9A1C2823-A79D-46AE-ACC1-8424DC0B7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764780" y="4160520"/>
          <a:ext cx="1128881" cy="668475"/>
        </a:xfrm>
        <a:prstGeom prst="rect">
          <a:avLst/>
        </a:prstGeom>
      </xdr:spPr>
    </xdr:pic>
    <xdr:clientData/>
  </xdr:twoCellAnchor>
  <xdr:twoCellAnchor editAs="oneCell">
    <xdr:from>
      <xdr:col>8</xdr:col>
      <xdr:colOff>99060</xdr:colOff>
      <xdr:row>2</xdr:row>
      <xdr:rowOff>167640</xdr:rowOff>
    </xdr:from>
    <xdr:to>
      <xdr:col>9</xdr:col>
      <xdr:colOff>419100</xdr:colOff>
      <xdr:row>6</xdr:row>
      <xdr:rowOff>121070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929951F8-CB7B-409F-8B8E-1D672CA5F1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t="4072" b="13582"/>
        <a:stretch/>
      </xdr:blipFill>
      <xdr:spPr>
        <a:xfrm>
          <a:off x="4107180" y="579120"/>
          <a:ext cx="853440" cy="684950"/>
        </a:xfrm>
        <a:prstGeom prst="rect">
          <a:avLst/>
        </a:prstGeom>
        <a:effectLst>
          <a:softEdge rad="76200"/>
        </a:effectLst>
      </xdr:spPr>
    </xdr:pic>
    <xdr:clientData/>
  </xdr:twoCellAnchor>
  <xdr:twoCellAnchor editAs="oneCell">
    <xdr:from>
      <xdr:col>11</xdr:col>
      <xdr:colOff>130612</xdr:colOff>
      <xdr:row>3</xdr:row>
      <xdr:rowOff>22859</xdr:rowOff>
    </xdr:from>
    <xdr:to>
      <xdr:col>12</xdr:col>
      <xdr:colOff>396240</xdr:colOff>
      <xdr:row>6</xdr:row>
      <xdr:rowOff>119626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0B3B0ED9-DF58-41A9-9568-337ABF9874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15000" r="13442" b="8889"/>
        <a:stretch/>
      </xdr:blipFill>
      <xdr:spPr>
        <a:xfrm>
          <a:off x="5738932" y="609599"/>
          <a:ext cx="799028" cy="645407"/>
        </a:xfrm>
        <a:prstGeom prst="rect">
          <a:avLst/>
        </a:prstGeom>
        <a:effectLst>
          <a:softEdge rad="76200"/>
        </a:effectLst>
      </xdr:spPr>
    </xdr:pic>
    <xdr:clientData/>
  </xdr:twoCellAnchor>
  <xdr:twoCellAnchor editAs="oneCell">
    <xdr:from>
      <xdr:col>5</xdr:col>
      <xdr:colOff>60960</xdr:colOff>
      <xdr:row>11</xdr:row>
      <xdr:rowOff>15241</xdr:rowOff>
    </xdr:from>
    <xdr:to>
      <xdr:col>6</xdr:col>
      <xdr:colOff>506625</xdr:colOff>
      <xdr:row>14</xdr:row>
      <xdr:rowOff>91441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F098547B-E774-4A53-96AA-44B843095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2468880" y="2125981"/>
          <a:ext cx="979065" cy="624840"/>
        </a:xfrm>
        <a:prstGeom prst="rect">
          <a:avLst/>
        </a:prstGeom>
        <a:effectLst>
          <a:softEdge rad="76200"/>
        </a:effectLst>
      </xdr:spPr>
    </xdr:pic>
    <xdr:clientData/>
  </xdr:twoCellAnchor>
  <xdr:twoCellAnchor editAs="oneCell">
    <xdr:from>
      <xdr:col>1</xdr:col>
      <xdr:colOff>518161</xdr:colOff>
      <xdr:row>11</xdr:row>
      <xdr:rowOff>45720</xdr:rowOff>
    </xdr:from>
    <xdr:to>
      <xdr:col>3</xdr:col>
      <xdr:colOff>469061</xdr:colOff>
      <xdr:row>14</xdr:row>
      <xdr:rowOff>137160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EEEC2FD7-EFE4-404B-B1BC-D47F2AB71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792481" y="2156460"/>
          <a:ext cx="1017700" cy="640080"/>
        </a:xfrm>
        <a:prstGeom prst="rect">
          <a:avLst/>
        </a:prstGeom>
        <a:effectLst>
          <a:softEdge rad="76200"/>
        </a:effectLst>
      </xdr:spPr>
    </xdr:pic>
    <xdr:clientData/>
  </xdr:twoCellAnchor>
  <xdr:twoCellAnchor editAs="oneCell">
    <xdr:from>
      <xdr:col>14</xdr:col>
      <xdr:colOff>15241</xdr:colOff>
      <xdr:row>3</xdr:row>
      <xdr:rowOff>7620</xdr:rowOff>
    </xdr:from>
    <xdr:to>
      <xdr:col>15</xdr:col>
      <xdr:colOff>502920</xdr:colOff>
      <xdr:row>6</xdr:row>
      <xdr:rowOff>129540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xmlns="" id="{B8E667FD-5E91-4782-B2BB-22FC49E35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7223761" y="594360"/>
          <a:ext cx="1021079" cy="670560"/>
        </a:xfrm>
        <a:prstGeom prst="rect">
          <a:avLst/>
        </a:prstGeom>
        <a:effectLst>
          <a:softEdge rad="76200"/>
        </a:effectLst>
      </xdr:spPr>
    </xdr:pic>
    <xdr:clientData/>
  </xdr:twoCellAnchor>
  <xdr:twoCellAnchor editAs="oneCell">
    <xdr:from>
      <xdr:col>8</xdr:col>
      <xdr:colOff>15240</xdr:colOff>
      <xdr:row>11</xdr:row>
      <xdr:rowOff>30480</xdr:rowOff>
    </xdr:from>
    <xdr:to>
      <xdr:col>9</xdr:col>
      <xdr:colOff>480060</xdr:colOff>
      <xdr:row>14</xdr:row>
      <xdr:rowOff>136151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xmlns="" id="{79764A2F-7FB9-4E04-A6A5-A3C3EF9A2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4023360" y="2141220"/>
          <a:ext cx="998220" cy="631451"/>
        </a:xfrm>
        <a:prstGeom prst="rect">
          <a:avLst/>
        </a:prstGeom>
        <a:effectLst>
          <a:softEdge rad="76200"/>
        </a:effectLst>
      </xdr:spPr>
    </xdr:pic>
    <xdr:clientData/>
  </xdr:twoCellAnchor>
  <xdr:twoCellAnchor editAs="oneCell">
    <xdr:from>
      <xdr:col>10</xdr:col>
      <xdr:colOff>38101</xdr:colOff>
      <xdr:row>67</xdr:row>
      <xdr:rowOff>68582</xdr:rowOff>
    </xdr:from>
    <xdr:to>
      <xdr:col>11</xdr:col>
      <xdr:colOff>0</xdr:colOff>
      <xdr:row>71</xdr:row>
      <xdr:rowOff>63624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xmlns="" id="{EB4CE08B-1DB2-4B8D-BCF3-1F87B1B05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113021" y="13860782"/>
          <a:ext cx="495299" cy="1305682"/>
        </a:xfrm>
        <a:prstGeom prst="rect">
          <a:avLst/>
        </a:prstGeom>
      </xdr:spPr>
    </xdr:pic>
    <xdr:clientData/>
  </xdr:twoCellAnchor>
  <xdr:twoCellAnchor editAs="oneCell">
    <xdr:from>
      <xdr:col>8</xdr:col>
      <xdr:colOff>514821</xdr:colOff>
      <xdr:row>68</xdr:row>
      <xdr:rowOff>38099</xdr:rowOff>
    </xdr:from>
    <xdr:to>
      <xdr:col>10</xdr:col>
      <xdr:colOff>15242</xdr:colOff>
      <xdr:row>70</xdr:row>
      <xdr:rowOff>609598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xmlns="" id="{59DDC24D-45CA-480C-9AA6-0FB80E96F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16200000">
          <a:off x="4303632" y="14240108"/>
          <a:ext cx="1005839" cy="567221"/>
        </a:xfrm>
        <a:prstGeom prst="rect">
          <a:avLst/>
        </a:prstGeom>
      </xdr:spPr>
    </xdr:pic>
    <xdr:clientData/>
  </xdr:twoCellAnchor>
  <xdr:twoCellAnchor editAs="oneCell">
    <xdr:from>
      <xdr:col>12</xdr:col>
      <xdr:colOff>106685</xdr:colOff>
      <xdr:row>66</xdr:row>
      <xdr:rowOff>68579</xdr:rowOff>
    </xdr:from>
    <xdr:to>
      <xdr:col>12</xdr:col>
      <xdr:colOff>457207</xdr:colOff>
      <xdr:row>71</xdr:row>
      <xdr:rowOff>45970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xmlns="" id="{3A6F0B1A-A69C-4F02-AF19-EDAFC8597B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t="5881" b="71395"/>
        <a:stretch/>
      </xdr:blipFill>
      <xdr:spPr>
        <a:xfrm rot="16200000">
          <a:off x="5680590" y="14230474"/>
          <a:ext cx="1486151" cy="350522"/>
        </a:xfrm>
        <a:prstGeom prst="rect">
          <a:avLst/>
        </a:prstGeom>
      </xdr:spPr>
    </xdr:pic>
    <xdr:clientData/>
  </xdr:twoCellAnchor>
  <xdr:twoCellAnchor editAs="oneCell">
    <xdr:from>
      <xdr:col>11</xdr:col>
      <xdr:colOff>247657</xdr:colOff>
      <xdr:row>68</xdr:row>
      <xdr:rowOff>213360</xdr:rowOff>
    </xdr:from>
    <xdr:to>
      <xdr:col>11</xdr:col>
      <xdr:colOff>502926</xdr:colOff>
      <xdr:row>70</xdr:row>
      <xdr:rowOff>506732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xmlns="" id="{FF655399-60CD-48BB-BA7D-AD571DC2F2E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13193" t="6336" r="42544" b="83935"/>
        <a:stretch/>
      </xdr:blipFill>
      <xdr:spPr>
        <a:xfrm rot="16200000">
          <a:off x="5619756" y="14432281"/>
          <a:ext cx="727712" cy="255269"/>
        </a:xfrm>
        <a:prstGeom prst="rect">
          <a:avLst/>
        </a:prstGeom>
      </xdr:spPr>
    </xdr:pic>
    <xdr:clientData/>
  </xdr:twoCellAnchor>
  <xdr:twoCellAnchor editAs="oneCell">
    <xdr:from>
      <xdr:col>1</xdr:col>
      <xdr:colOff>350520</xdr:colOff>
      <xdr:row>45</xdr:row>
      <xdr:rowOff>68581</xdr:rowOff>
    </xdr:from>
    <xdr:to>
      <xdr:col>2</xdr:col>
      <xdr:colOff>213360</xdr:colOff>
      <xdr:row>47</xdr:row>
      <xdr:rowOff>129541</xdr:rowOff>
    </xdr:to>
    <xdr:pic>
      <xdr:nvPicPr>
        <xdr:cNvPr id="38" name="Picture 37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xmlns="" id="{20915A7C-06D2-4943-8EFF-8AB2800493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 cstate="print"/>
        <a:srcRect t="4629"/>
        <a:stretch/>
      </xdr:blipFill>
      <xdr:spPr>
        <a:xfrm>
          <a:off x="853440" y="1120141"/>
          <a:ext cx="396240" cy="42672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39</xdr:row>
      <xdr:rowOff>68580</xdr:rowOff>
    </xdr:from>
    <xdr:to>
      <xdr:col>4</xdr:col>
      <xdr:colOff>0</xdr:colOff>
      <xdr:row>41</xdr:row>
      <xdr:rowOff>0</xdr:rowOff>
    </xdr:to>
    <xdr:sp macro="" textlink="">
      <xdr:nvSpPr>
        <xdr:cNvPr id="39" name="Rectangle: Top Corners One Rounded and One Snipped 38">
          <a:extLst>
            <a:ext uri="{FF2B5EF4-FFF2-40B4-BE49-F238E27FC236}">
              <a16:creationId xmlns:a16="http://schemas.microsoft.com/office/drawing/2014/main" xmlns="" id="{C3C6BF60-E229-4C4E-9CDA-4E977757185A}"/>
            </a:ext>
          </a:extLst>
        </xdr:cNvPr>
        <xdr:cNvSpPr/>
      </xdr:nvSpPr>
      <xdr:spPr>
        <a:xfrm>
          <a:off x="502920" y="68580"/>
          <a:ext cx="1851660" cy="312420"/>
        </a:xfrm>
        <a:prstGeom prst="snipRoundRect">
          <a:avLst/>
        </a:prstGeom>
        <a:solidFill>
          <a:schemeClr val="accent1">
            <a:lumMod val="60000"/>
            <a:lumOff val="40000"/>
          </a:schemeClr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 insulated Surface</a:t>
          </a:r>
        </a:p>
      </xdr:txBody>
    </xdr:sp>
    <xdr:clientData/>
  </xdr:twoCellAnchor>
  <xdr:twoCellAnchor>
    <xdr:from>
      <xdr:col>7</xdr:col>
      <xdr:colOff>518360</xdr:colOff>
      <xdr:row>61</xdr:row>
      <xdr:rowOff>106680</xdr:rowOff>
    </xdr:from>
    <xdr:to>
      <xdr:col>10</xdr:col>
      <xdr:colOff>466182</xdr:colOff>
      <xdr:row>63</xdr:row>
      <xdr:rowOff>91440</xdr:rowOff>
    </xdr:to>
    <xdr:sp macro="" textlink="">
      <xdr:nvSpPr>
        <xdr:cNvPr id="40" name="Flowchart: Terminator 39">
          <a:extLst>
            <a:ext uri="{FF2B5EF4-FFF2-40B4-BE49-F238E27FC236}">
              <a16:creationId xmlns:a16="http://schemas.microsoft.com/office/drawing/2014/main" xmlns="" id="{3DABD933-41C2-4AD8-A988-4F97167B6CE8}"/>
            </a:ext>
          </a:extLst>
        </xdr:cNvPr>
        <xdr:cNvSpPr/>
      </xdr:nvSpPr>
      <xdr:spPr>
        <a:xfrm>
          <a:off x="4678880" y="4206240"/>
          <a:ext cx="1753762" cy="365760"/>
        </a:xfrm>
        <a:prstGeom prst="flowChartTerminator">
          <a:avLst/>
        </a:prstGeom>
        <a:solidFill>
          <a:schemeClr val="accent1">
            <a:lumMod val="60000"/>
            <a:lumOff val="4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/>
            <a:t>Comments</a:t>
          </a:r>
          <a:r>
            <a:rPr lang="en-GB" sz="1100"/>
            <a:t> </a:t>
          </a:r>
        </a:p>
      </xdr:txBody>
    </xdr:sp>
    <xdr:clientData/>
  </xdr:twoCellAnchor>
  <xdr:twoCellAnchor>
    <xdr:from>
      <xdr:col>7</xdr:col>
      <xdr:colOff>494264</xdr:colOff>
      <xdr:row>58</xdr:row>
      <xdr:rowOff>91440</xdr:rowOff>
    </xdr:from>
    <xdr:to>
      <xdr:col>10</xdr:col>
      <xdr:colOff>449580</xdr:colOff>
      <xdr:row>60</xdr:row>
      <xdr:rowOff>91440</xdr:rowOff>
    </xdr:to>
    <xdr:sp macro="" textlink="">
      <xdr:nvSpPr>
        <xdr:cNvPr id="41" name="Flowchart: Terminator 40">
          <a:extLst>
            <a:ext uri="{FF2B5EF4-FFF2-40B4-BE49-F238E27FC236}">
              <a16:creationId xmlns:a16="http://schemas.microsoft.com/office/drawing/2014/main" xmlns="" id="{D70D4426-6CBB-4A7D-9007-6E0645851554}"/>
            </a:ext>
          </a:extLst>
        </xdr:cNvPr>
        <xdr:cNvSpPr/>
      </xdr:nvSpPr>
      <xdr:spPr>
        <a:xfrm>
          <a:off x="4654784" y="3619500"/>
          <a:ext cx="1761256" cy="381000"/>
        </a:xfrm>
        <a:prstGeom prst="flowChartTerminator">
          <a:avLst/>
        </a:prstGeom>
        <a:solidFill>
          <a:schemeClr val="accent1">
            <a:lumMod val="60000"/>
            <a:lumOff val="4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/>
            <a:t>Space issue</a:t>
          </a:r>
          <a:endParaRPr lang="en-GB" sz="1100"/>
        </a:p>
      </xdr:txBody>
    </xdr:sp>
    <xdr:clientData/>
  </xdr:twoCellAnchor>
  <xdr:twoCellAnchor>
    <xdr:from>
      <xdr:col>7</xdr:col>
      <xdr:colOff>510540</xdr:colOff>
      <xdr:row>55</xdr:row>
      <xdr:rowOff>91440</xdr:rowOff>
    </xdr:from>
    <xdr:to>
      <xdr:col>10</xdr:col>
      <xdr:colOff>413393</xdr:colOff>
      <xdr:row>57</xdr:row>
      <xdr:rowOff>83820</xdr:rowOff>
    </xdr:to>
    <xdr:sp macro="" textlink="">
      <xdr:nvSpPr>
        <xdr:cNvPr id="42" name="Flowchart: Terminator 41">
          <a:extLst>
            <a:ext uri="{FF2B5EF4-FFF2-40B4-BE49-F238E27FC236}">
              <a16:creationId xmlns:a16="http://schemas.microsoft.com/office/drawing/2014/main" xmlns="" id="{819EC541-9D17-43AC-8A18-00CC749CB13A}"/>
            </a:ext>
          </a:extLst>
        </xdr:cNvPr>
        <xdr:cNvSpPr/>
      </xdr:nvSpPr>
      <xdr:spPr>
        <a:xfrm>
          <a:off x="4671060" y="3048000"/>
          <a:ext cx="1708793" cy="373380"/>
        </a:xfrm>
        <a:prstGeom prst="flowChartTerminator">
          <a:avLst/>
        </a:prstGeom>
        <a:solidFill>
          <a:schemeClr val="accent1">
            <a:lumMod val="60000"/>
            <a:lumOff val="4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/>
            <a:t>Operational</a:t>
          </a:r>
          <a:r>
            <a:rPr lang="en-GB" sz="1600" baseline="0"/>
            <a:t> </a:t>
          </a:r>
          <a:r>
            <a:rPr lang="en-GB" sz="1600"/>
            <a:t> risk </a:t>
          </a:r>
          <a:r>
            <a:rPr lang="en-GB" sz="1100"/>
            <a:t> </a:t>
          </a:r>
        </a:p>
      </xdr:txBody>
    </xdr:sp>
    <xdr:clientData/>
  </xdr:twoCellAnchor>
  <xdr:twoCellAnchor>
    <xdr:from>
      <xdr:col>7</xdr:col>
      <xdr:colOff>533400</xdr:colOff>
      <xdr:row>52</xdr:row>
      <xdr:rowOff>38100</xdr:rowOff>
    </xdr:from>
    <xdr:to>
      <xdr:col>10</xdr:col>
      <xdr:colOff>436253</xdr:colOff>
      <xdr:row>54</xdr:row>
      <xdr:rowOff>30480</xdr:rowOff>
    </xdr:to>
    <xdr:sp macro="" textlink="">
      <xdr:nvSpPr>
        <xdr:cNvPr id="43" name="Flowchart: Terminator 42">
          <a:extLst>
            <a:ext uri="{FF2B5EF4-FFF2-40B4-BE49-F238E27FC236}">
              <a16:creationId xmlns:a16="http://schemas.microsoft.com/office/drawing/2014/main" xmlns="" id="{DE874291-243A-4421-BE28-CB76FEF06F6D}"/>
            </a:ext>
          </a:extLst>
        </xdr:cNvPr>
        <xdr:cNvSpPr/>
      </xdr:nvSpPr>
      <xdr:spPr>
        <a:xfrm>
          <a:off x="4693920" y="2423160"/>
          <a:ext cx="1708793" cy="373380"/>
        </a:xfrm>
        <a:prstGeom prst="flowChartTerminator">
          <a:avLst/>
        </a:prstGeom>
        <a:solidFill>
          <a:schemeClr val="accent1">
            <a:lumMod val="60000"/>
            <a:lumOff val="4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/>
            <a:t>Safety risk </a:t>
          </a:r>
          <a:r>
            <a:rPr lang="en-GB" sz="1100"/>
            <a:t> </a:t>
          </a:r>
        </a:p>
      </xdr:txBody>
    </xdr:sp>
    <xdr:clientData/>
  </xdr:twoCellAnchor>
  <xdr:twoCellAnchor editAs="oneCell">
    <xdr:from>
      <xdr:col>2</xdr:col>
      <xdr:colOff>556260</xdr:colOff>
      <xdr:row>45</xdr:row>
      <xdr:rowOff>53340</xdr:rowOff>
    </xdr:from>
    <xdr:to>
      <xdr:col>3</xdr:col>
      <xdr:colOff>441960</xdr:colOff>
      <xdr:row>47</xdr:row>
      <xdr:rowOff>129540</xdr:rowOff>
    </xdr:to>
    <xdr:pic>
      <xdr:nvPicPr>
        <xdr:cNvPr id="44" name="Graphic 43" descr="Open Folder">
          <a:extLst>
            <a:ext uri="{FF2B5EF4-FFF2-40B4-BE49-F238E27FC236}">
              <a16:creationId xmlns:a16="http://schemas.microsoft.com/office/drawing/2014/main" xmlns="" id="{6B3DCC42-C564-4986-A3D1-81D6C6908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20"/>
            </a:ext>
          </a:extLst>
        </a:blip>
        <a:stretch>
          <a:fillRect/>
        </a:stretch>
      </xdr:blipFill>
      <xdr:spPr>
        <a:xfrm>
          <a:off x="1417320" y="1104900"/>
          <a:ext cx="441960" cy="441960"/>
        </a:xfrm>
        <a:prstGeom prst="rect">
          <a:avLst/>
        </a:prstGeom>
      </xdr:spPr>
    </xdr:pic>
    <xdr:clientData/>
  </xdr:twoCellAnchor>
  <xdr:twoCellAnchor>
    <xdr:from>
      <xdr:col>16</xdr:col>
      <xdr:colOff>312420</xdr:colOff>
      <xdr:row>39</xdr:row>
      <xdr:rowOff>99060</xdr:rowOff>
    </xdr:from>
    <xdr:to>
      <xdr:col>18</xdr:col>
      <xdr:colOff>7620</xdr:colOff>
      <xdr:row>40</xdr:row>
      <xdr:rowOff>121920</xdr:rowOff>
    </xdr:to>
    <xdr:sp macro="" textlink="">
      <xdr:nvSpPr>
        <xdr:cNvPr id="45" name="Flowchart: Terminator 44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xmlns="" id="{EDC19EF0-99BF-45B6-96BA-3DAC32050D94}"/>
            </a:ext>
          </a:extLst>
        </xdr:cNvPr>
        <xdr:cNvSpPr/>
      </xdr:nvSpPr>
      <xdr:spPr>
        <a:xfrm>
          <a:off x="9928860" y="99060"/>
          <a:ext cx="685800" cy="213360"/>
        </a:xfrm>
        <a:prstGeom prst="flowChartTerminator">
          <a:avLst/>
        </a:prstGeom>
        <a:solidFill>
          <a:schemeClr val="accent6">
            <a:lumMod val="5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 b="1"/>
            <a:t>End </a:t>
          </a:r>
        </a:p>
      </xdr:txBody>
    </xdr:sp>
    <xdr:clientData/>
  </xdr:twoCellAnchor>
  <xdr:twoCellAnchor>
    <xdr:from>
      <xdr:col>15</xdr:col>
      <xdr:colOff>68580</xdr:colOff>
      <xdr:row>39</xdr:row>
      <xdr:rowOff>91440</xdr:rowOff>
    </xdr:from>
    <xdr:to>
      <xdr:col>16</xdr:col>
      <xdr:colOff>160020</xdr:colOff>
      <xdr:row>40</xdr:row>
      <xdr:rowOff>121920</xdr:rowOff>
    </xdr:to>
    <xdr:sp macro="" textlink="">
      <xdr:nvSpPr>
        <xdr:cNvPr id="46" name="Flowchart: Terminator 45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xmlns="" id="{452BFCD3-CAAB-464A-A79C-C2F4A31AB84E}"/>
            </a:ext>
          </a:extLst>
        </xdr:cNvPr>
        <xdr:cNvSpPr/>
      </xdr:nvSpPr>
      <xdr:spPr>
        <a:xfrm>
          <a:off x="9083040" y="91440"/>
          <a:ext cx="693420" cy="220980"/>
        </a:xfrm>
        <a:prstGeom prst="flowChartTerminator">
          <a:avLst/>
        </a:prstGeom>
        <a:solidFill>
          <a:schemeClr val="accent6"/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 b="1"/>
            <a:t>New   </a:t>
          </a:r>
        </a:p>
      </xdr:txBody>
    </xdr:sp>
    <xdr:clientData/>
  </xdr:twoCellAnchor>
  <xdr:twoCellAnchor editAs="oneCell">
    <xdr:from>
      <xdr:col>4</xdr:col>
      <xdr:colOff>129540</xdr:colOff>
      <xdr:row>51</xdr:row>
      <xdr:rowOff>15240</xdr:rowOff>
    </xdr:from>
    <xdr:to>
      <xdr:col>4</xdr:col>
      <xdr:colOff>477353</xdr:colOff>
      <xdr:row>53</xdr:row>
      <xdr:rowOff>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xmlns="" id="{C43BD8C2-9D50-4785-8EE8-5AB0C06F37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2484120" y="2209800"/>
          <a:ext cx="347813" cy="350520"/>
        </a:xfrm>
        <a:prstGeom prst="rect">
          <a:avLst/>
        </a:prstGeom>
      </xdr:spPr>
    </xdr:pic>
    <xdr:clientData/>
  </xdr:twoCellAnchor>
  <xdr:twoCellAnchor editAs="oneCell">
    <xdr:from>
      <xdr:col>4</xdr:col>
      <xdr:colOff>213361</xdr:colOff>
      <xdr:row>63</xdr:row>
      <xdr:rowOff>1</xdr:rowOff>
    </xdr:from>
    <xdr:to>
      <xdr:col>4</xdr:col>
      <xdr:colOff>502921</xdr:colOff>
      <xdr:row>64</xdr:row>
      <xdr:rowOff>165641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xmlns="" id="{E6D2D5DC-E0F5-4728-B2D1-050D7B2BD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2567941" y="4480561"/>
          <a:ext cx="289560" cy="348520"/>
        </a:xfrm>
        <a:prstGeom prst="rect">
          <a:avLst/>
        </a:prstGeom>
      </xdr:spPr>
    </xdr:pic>
    <xdr:clientData/>
  </xdr:twoCellAnchor>
  <xdr:twoCellAnchor editAs="oneCell">
    <xdr:from>
      <xdr:col>16</xdr:col>
      <xdr:colOff>83820</xdr:colOff>
      <xdr:row>62</xdr:row>
      <xdr:rowOff>175260</xdr:rowOff>
    </xdr:from>
    <xdr:to>
      <xdr:col>18</xdr:col>
      <xdr:colOff>366881</xdr:colOff>
      <xdr:row>66</xdr:row>
      <xdr:rowOff>112215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xmlns="" id="{9C20259F-3483-412E-92F1-133A195D3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00260" y="4465320"/>
          <a:ext cx="1128881" cy="668475"/>
        </a:xfrm>
        <a:prstGeom prst="rect">
          <a:avLst/>
        </a:prstGeom>
      </xdr:spPr>
    </xdr:pic>
    <xdr:clientData/>
  </xdr:twoCellAnchor>
  <xdr:twoCellAnchor editAs="oneCell">
    <xdr:from>
      <xdr:col>12</xdr:col>
      <xdr:colOff>60960</xdr:colOff>
      <xdr:row>75</xdr:row>
      <xdr:rowOff>114300</xdr:rowOff>
    </xdr:from>
    <xdr:to>
      <xdr:col>13</xdr:col>
      <xdr:colOff>298855</xdr:colOff>
      <xdr:row>78</xdr:row>
      <xdr:rowOff>30480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xmlns="" id="{809CE946-0D4E-4ACC-94F7-C74A55143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101840" y="10538460"/>
          <a:ext cx="771295" cy="464820"/>
        </a:xfrm>
        <a:prstGeom prst="rect">
          <a:avLst/>
        </a:prstGeom>
        <a:ln w="25400">
          <a:solidFill>
            <a:schemeClr val="tx1"/>
          </a:solidFill>
        </a:ln>
      </xdr:spPr>
    </xdr:pic>
    <xdr:clientData/>
  </xdr:twoCellAnchor>
  <xdr:twoCellAnchor editAs="oneCell">
    <xdr:from>
      <xdr:col>8</xdr:col>
      <xdr:colOff>541020</xdr:colOff>
      <xdr:row>79</xdr:row>
      <xdr:rowOff>83820</xdr:rowOff>
    </xdr:from>
    <xdr:to>
      <xdr:col>12</xdr:col>
      <xdr:colOff>52494</xdr:colOff>
      <xdr:row>81</xdr:row>
      <xdr:rowOff>83820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xmlns="" id="{280C7AF8-DCB7-4AA8-B714-353B8BD4C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303520" y="11346180"/>
          <a:ext cx="1652694" cy="365760"/>
        </a:xfrm>
        <a:prstGeom prst="rect">
          <a:avLst/>
        </a:prstGeom>
      </xdr:spPr>
    </xdr:pic>
    <xdr:clientData/>
  </xdr:twoCellAnchor>
  <xdr:twoCellAnchor>
    <xdr:from>
      <xdr:col>11</xdr:col>
      <xdr:colOff>388620</xdr:colOff>
      <xdr:row>74</xdr:row>
      <xdr:rowOff>15240</xdr:rowOff>
    </xdr:from>
    <xdr:to>
      <xdr:col>19</xdr:col>
      <xdr:colOff>487680</xdr:colOff>
      <xdr:row>76</xdr:row>
      <xdr:rowOff>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xmlns="" id="{49664C67-D841-4E6E-B054-7A78EE071EB6}"/>
            </a:ext>
          </a:extLst>
        </xdr:cNvPr>
        <xdr:cNvCxnSpPr/>
      </xdr:nvCxnSpPr>
      <xdr:spPr>
        <a:xfrm flipH="1" flipV="1">
          <a:off x="6957060" y="10043160"/>
          <a:ext cx="4526280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346363</xdr:colOff>
      <xdr:row>48</xdr:row>
      <xdr:rowOff>132311</xdr:rowOff>
    </xdr:from>
    <xdr:to>
      <xdr:col>16</xdr:col>
      <xdr:colOff>398318</xdr:colOff>
      <xdr:row>50</xdr:row>
      <xdr:rowOff>110144</xdr:rowOff>
    </xdr:to>
    <xdr:sp macro="" textlink="">
      <xdr:nvSpPr>
        <xdr:cNvPr id="61" name="Flowchart: Terminator 60">
          <a:extLst>
            <a:ext uri="{FF2B5EF4-FFF2-40B4-BE49-F238E27FC236}">
              <a16:creationId xmlns:a16="http://schemas.microsoft.com/office/drawing/2014/main" xmlns="" id="{BD72D4DC-C76C-443E-88D1-1DBD4E9C1470}"/>
            </a:ext>
          </a:extLst>
        </xdr:cNvPr>
        <xdr:cNvSpPr/>
      </xdr:nvSpPr>
      <xdr:spPr>
        <a:xfrm>
          <a:off x="8758843" y="1755371"/>
          <a:ext cx="1255915" cy="358833"/>
        </a:xfrm>
        <a:prstGeom prst="flowChartTerminator">
          <a:avLst/>
        </a:prstGeom>
        <a:solidFill>
          <a:schemeClr val="accent6"/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/>
            <a:t>CALCULATE</a:t>
          </a:r>
          <a:r>
            <a:rPr lang="en-GB" sz="1100"/>
            <a:t> </a:t>
          </a:r>
        </a:p>
      </xdr:txBody>
    </xdr:sp>
    <xdr:clientData/>
  </xdr:twoCellAnchor>
  <xdr:twoCellAnchor editAs="oneCell">
    <xdr:from>
      <xdr:col>16</xdr:col>
      <xdr:colOff>497378</xdr:colOff>
      <xdr:row>48</xdr:row>
      <xdr:rowOff>48491</xdr:rowOff>
    </xdr:from>
    <xdr:to>
      <xdr:col>18</xdr:col>
      <xdr:colOff>162098</xdr:colOff>
      <xdr:row>51</xdr:row>
      <xdr:rowOff>3464</xdr:rowOff>
    </xdr:to>
    <xdr:pic>
      <xdr:nvPicPr>
        <xdr:cNvPr id="62" name="Graphic 61" descr="Share">
          <a:extLst>
            <a:ext uri="{FF2B5EF4-FFF2-40B4-BE49-F238E27FC236}">
              <a16:creationId xmlns:a16="http://schemas.microsoft.com/office/drawing/2014/main" xmlns="" id="{063797AE-52D9-41A5-9164-9F8C353E0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28"/>
            </a:ext>
          </a:extLst>
        </a:blip>
        <a:stretch>
          <a:fillRect/>
        </a:stretch>
      </xdr:blipFill>
      <xdr:spPr>
        <a:xfrm>
          <a:off x="10113818" y="1671551"/>
          <a:ext cx="510540" cy="503613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350520</xdr:colOff>
      <xdr:row>0</xdr:row>
      <xdr:rowOff>0</xdr:rowOff>
    </xdr:from>
    <xdr:to>
      <xdr:col>2</xdr:col>
      <xdr:colOff>388620</xdr:colOff>
      <xdr:row>2</xdr:row>
      <xdr:rowOff>91440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2D282C07-A825-4909-A529-BB273EA5B3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/>
        <a:srcRect t="4629"/>
        <a:stretch/>
      </xdr:blipFill>
      <xdr:spPr>
        <a:xfrm>
          <a:off x="708660" y="998221"/>
          <a:ext cx="396240" cy="441960"/>
        </a:xfrm>
        <a:prstGeom prst="rect">
          <a:avLst/>
        </a:prstGeom>
      </xdr:spPr>
    </xdr:pic>
    <xdr:clientData/>
  </xdr:twoCellAnchor>
  <xdr:twoCellAnchor editAs="oneCell">
    <xdr:from>
      <xdr:col>2</xdr:col>
      <xdr:colOff>556260</xdr:colOff>
      <xdr:row>0</xdr:row>
      <xdr:rowOff>0</xdr:rowOff>
    </xdr:from>
    <xdr:to>
      <xdr:col>3</xdr:col>
      <xdr:colOff>106680</xdr:colOff>
      <xdr:row>2</xdr:row>
      <xdr:rowOff>106680</xdr:rowOff>
    </xdr:to>
    <xdr:pic>
      <xdr:nvPicPr>
        <xdr:cNvPr id="6" name="Graphic 5" descr="Open Folder">
          <a:extLst>
            <a:ext uri="{FF2B5EF4-FFF2-40B4-BE49-F238E27FC236}">
              <a16:creationId xmlns:a16="http://schemas.microsoft.com/office/drawing/2014/main" xmlns="" id="{81B77D43-7F8B-4C46-A443-397AD1AE3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1272540" y="982980"/>
          <a:ext cx="44196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11</xdr:col>
      <xdr:colOff>203231</xdr:colOff>
      <xdr:row>24</xdr:row>
      <xdr:rowOff>116014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xmlns="" id="{EA169E87-5754-424B-BCCB-31D4C26D64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9838" t="9051" r="13145" b="5900"/>
        <a:stretch/>
      </xdr:blipFill>
      <xdr:spPr>
        <a:xfrm>
          <a:off x="358140" y="8420100"/>
          <a:ext cx="6017291" cy="3773614"/>
        </a:xfrm>
        <a:prstGeom prst="rect">
          <a:avLst/>
        </a:prstGeom>
      </xdr:spPr>
    </xdr:pic>
    <xdr:clientData/>
  </xdr:twoCellAnchor>
  <xdr:twoCellAnchor>
    <xdr:from>
      <xdr:col>1</xdr:col>
      <xdr:colOff>76200</xdr:colOff>
      <xdr:row>9</xdr:row>
      <xdr:rowOff>144780</xdr:rowOff>
    </xdr:from>
    <xdr:to>
      <xdr:col>6</xdr:col>
      <xdr:colOff>175260</xdr:colOff>
      <xdr:row>20</xdr:row>
      <xdr:rowOff>7620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xmlns="" id="{1038C1C9-6B35-4CF7-816A-2651D86C6B26}"/>
            </a:ext>
          </a:extLst>
        </xdr:cNvPr>
        <xdr:cNvSpPr/>
      </xdr:nvSpPr>
      <xdr:spPr>
        <a:xfrm>
          <a:off x="434340" y="9479280"/>
          <a:ext cx="2903220" cy="187452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</xdr:col>
      <xdr:colOff>45720</xdr:colOff>
      <xdr:row>10</xdr:row>
      <xdr:rowOff>83820</xdr:rowOff>
    </xdr:from>
    <xdr:to>
      <xdr:col>6</xdr:col>
      <xdr:colOff>193941</xdr:colOff>
      <xdr:row>15</xdr:row>
      <xdr:rowOff>36087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B2E181C8-0827-41C2-A85F-02C88DD523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03860" y="9601200"/>
          <a:ext cx="2952381" cy="866667"/>
        </a:xfrm>
        <a:prstGeom prst="rect">
          <a:avLst/>
        </a:prstGeom>
      </xdr:spPr>
    </xdr:pic>
    <xdr:clientData/>
  </xdr:twoCellAnchor>
  <xdr:oneCellAnchor>
    <xdr:from>
      <xdr:col>1</xdr:col>
      <xdr:colOff>45720</xdr:colOff>
      <xdr:row>12</xdr:row>
      <xdr:rowOff>91440</xdr:rowOff>
    </xdr:from>
    <xdr:ext cx="685800" cy="25673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6206DE11-0D68-41F8-84F3-73A526B4C085}"/>
            </a:ext>
          </a:extLst>
        </xdr:cNvPr>
        <xdr:cNvSpPr txBox="1"/>
      </xdr:nvSpPr>
      <xdr:spPr>
        <a:xfrm>
          <a:off x="403860" y="9974580"/>
          <a:ext cx="685800" cy="256737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050" b="1">
              <a:solidFill>
                <a:schemeClr val="bg1">
                  <a:lumMod val="75000"/>
                </a:schemeClr>
              </a:solidFill>
            </a:rPr>
            <a:t>Medium</a:t>
          </a:r>
        </a:p>
      </xdr:txBody>
    </xdr:sp>
    <xdr:clientData/>
  </xdr:oneCellAnchor>
  <xdr:twoCellAnchor>
    <xdr:from>
      <xdr:col>6</xdr:col>
      <xdr:colOff>396240</xdr:colOff>
      <xdr:row>17</xdr:row>
      <xdr:rowOff>38100</xdr:rowOff>
    </xdr:from>
    <xdr:to>
      <xdr:col>10</xdr:col>
      <xdr:colOff>533400</xdr:colOff>
      <xdr:row>20</xdr:row>
      <xdr:rowOff>167640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xmlns="" id="{51D43EF0-3B5F-4D38-9772-AB1EED22383F}"/>
            </a:ext>
          </a:extLst>
        </xdr:cNvPr>
        <xdr:cNvSpPr/>
      </xdr:nvSpPr>
      <xdr:spPr>
        <a:xfrm>
          <a:off x="3558540" y="10835640"/>
          <a:ext cx="2545080" cy="678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bg1">
                  <a:lumMod val="75000"/>
                </a:schemeClr>
              </a:solidFill>
            </a:rPr>
            <a:t>Siempre visible </a:t>
          </a:r>
          <a:r>
            <a:rPr lang="en-GB" sz="1100" baseline="0"/>
            <a:t>"Insulation in cold systems is critical not only for energy efficiency but for safety and process requirements </a:t>
          </a:r>
          <a:endParaRPr lang="en-GB" sz="1100"/>
        </a:p>
      </xdr:txBody>
    </xdr:sp>
    <xdr:clientData/>
  </xdr:twoCellAnchor>
  <xdr:twoCellAnchor editAs="oneCell">
    <xdr:from>
      <xdr:col>2</xdr:col>
      <xdr:colOff>662940</xdr:colOff>
      <xdr:row>16</xdr:row>
      <xdr:rowOff>45720</xdr:rowOff>
    </xdr:from>
    <xdr:to>
      <xdr:col>3</xdr:col>
      <xdr:colOff>140915</xdr:colOff>
      <xdr:row>17</xdr:row>
      <xdr:rowOff>66648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xmlns="" id="{A3B0A8E6-36C3-443E-B94D-FF94067BCC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5654" t="6958"/>
        <a:stretch/>
      </xdr:blipFill>
      <xdr:spPr>
        <a:xfrm>
          <a:off x="1379220" y="10660380"/>
          <a:ext cx="369515" cy="203808"/>
        </a:xfrm>
        <a:prstGeom prst="rect">
          <a:avLst/>
        </a:prstGeom>
      </xdr:spPr>
    </xdr:pic>
    <xdr:clientData/>
  </xdr:twoCellAnchor>
  <xdr:twoCellAnchor editAs="oneCell">
    <xdr:from>
      <xdr:col>1</xdr:col>
      <xdr:colOff>205740</xdr:colOff>
      <xdr:row>15</xdr:row>
      <xdr:rowOff>114300</xdr:rowOff>
    </xdr:from>
    <xdr:to>
      <xdr:col>4</xdr:col>
      <xdr:colOff>114300</xdr:colOff>
      <xdr:row>21</xdr:row>
      <xdr:rowOff>167640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xmlns="" id="{DC460120-53DA-44DA-A102-266DD48EC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63880" y="10546080"/>
          <a:ext cx="1760220" cy="1150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68580</xdr:colOff>
      <xdr:row>17</xdr:row>
      <xdr:rowOff>167640</xdr:rowOff>
    </xdr:from>
    <xdr:to>
      <xdr:col>3</xdr:col>
      <xdr:colOff>430475</xdr:colOff>
      <xdr:row>19</xdr:row>
      <xdr:rowOff>5688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xmlns="" id="{0CD368F0-2999-4B1E-92C6-FE69751D0D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7394" t="6958"/>
        <a:stretch/>
      </xdr:blipFill>
      <xdr:spPr>
        <a:xfrm>
          <a:off x="1676400" y="10965180"/>
          <a:ext cx="361895" cy="203808"/>
        </a:xfrm>
        <a:prstGeom prst="rect">
          <a:avLst/>
        </a:prstGeom>
      </xdr:spPr>
    </xdr:pic>
    <xdr:clientData/>
  </xdr:twoCellAnchor>
  <xdr:twoCellAnchor editAs="oneCell">
    <xdr:from>
      <xdr:col>3</xdr:col>
      <xdr:colOff>60960</xdr:colOff>
      <xdr:row>15</xdr:row>
      <xdr:rowOff>106680</xdr:rowOff>
    </xdr:from>
    <xdr:to>
      <xdr:col>3</xdr:col>
      <xdr:colOff>422855</xdr:colOff>
      <xdr:row>16</xdr:row>
      <xdr:rowOff>135228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xmlns="" id="{583E67BC-D6F5-49E9-B1BA-0CCA8B274C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7394" t="6958"/>
        <a:stretch/>
      </xdr:blipFill>
      <xdr:spPr>
        <a:xfrm>
          <a:off x="1668780" y="10538460"/>
          <a:ext cx="361895" cy="211428"/>
        </a:xfrm>
        <a:prstGeom prst="rect">
          <a:avLst/>
        </a:prstGeom>
      </xdr:spPr>
    </xdr:pic>
    <xdr:clientData/>
  </xdr:twoCellAnchor>
  <xdr:twoCellAnchor>
    <xdr:from>
      <xdr:col>11</xdr:col>
      <xdr:colOff>190500</xdr:colOff>
      <xdr:row>11</xdr:row>
      <xdr:rowOff>60960</xdr:rowOff>
    </xdr:from>
    <xdr:to>
      <xdr:col>15</xdr:col>
      <xdr:colOff>137160</xdr:colOff>
      <xdr:row>18</xdr:row>
      <xdr:rowOff>121920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xmlns="" id="{C407BBE1-771D-4371-ABA4-2E0985CE0994}"/>
            </a:ext>
          </a:extLst>
        </xdr:cNvPr>
        <xdr:cNvSpPr/>
      </xdr:nvSpPr>
      <xdr:spPr>
        <a:xfrm>
          <a:off x="6362700" y="9761220"/>
          <a:ext cx="2545080" cy="13411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aseline="0">
              <a:solidFill>
                <a:schemeClr val="bg1">
                  <a:lumMod val="75000"/>
                </a:schemeClr>
              </a:solidFill>
            </a:rPr>
            <a:t>Se activa cuando se seleccion </a:t>
          </a:r>
          <a:r>
            <a:rPr lang="en-GB" sz="1100" baseline="0"/>
            <a:t>"Ice block indicates the failure of the insulation system (or the lack of it). A part from the potential energy savings, its weight represents a risk for the installation break down"</a:t>
          </a:r>
          <a:endParaRPr lang="en-GB" sz="1100"/>
        </a:p>
      </xdr:txBody>
    </xdr:sp>
    <xdr:clientData/>
  </xdr:twoCellAnchor>
  <xdr:twoCellAnchor>
    <xdr:from>
      <xdr:col>11</xdr:col>
      <xdr:colOff>251460</xdr:colOff>
      <xdr:row>19</xdr:row>
      <xdr:rowOff>99060</xdr:rowOff>
    </xdr:from>
    <xdr:to>
      <xdr:col>15</xdr:col>
      <xdr:colOff>198120</xdr:colOff>
      <xdr:row>26</xdr:row>
      <xdr:rowOff>160020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xmlns="" id="{63E42B10-27BF-4BA9-B3E9-2FD4C8C07795}"/>
            </a:ext>
          </a:extLst>
        </xdr:cNvPr>
        <xdr:cNvSpPr/>
      </xdr:nvSpPr>
      <xdr:spPr>
        <a:xfrm>
          <a:off x="6423660" y="11262360"/>
          <a:ext cx="2545080" cy="13411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aseline="0">
              <a:solidFill>
                <a:schemeClr val="bg1">
                  <a:lumMod val="75000"/>
                </a:schemeClr>
              </a:solidFill>
            </a:rPr>
            <a:t>Se activa cuando se seleccion </a:t>
          </a:r>
          <a:r>
            <a:rPr lang="en-GB" sz="1100" baseline="0"/>
            <a:t>"Condensations indicates the need of a better insulation solution to bring the surface temperature above the dew point"</a:t>
          </a:r>
          <a:endParaRPr lang="en-GB" sz="1100"/>
        </a:p>
      </xdr:txBody>
    </xdr:sp>
    <xdr:clientData/>
  </xdr:twoCellAnchor>
  <xdr:twoCellAnchor editAs="oneCell">
    <xdr:from>
      <xdr:col>10</xdr:col>
      <xdr:colOff>137160</xdr:colOff>
      <xdr:row>23</xdr:row>
      <xdr:rowOff>38100</xdr:rowOff>
    </xdr:from>
    <xdr:to>
      <xdr:col>11</xdr:col>
      <xdr:colOff>135180</xdr:colOff>
      <xdr:row>24</xdr:row>
      <xdr:rowOff>131410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xmlns="" id="{D696CF65-428E-4F9A-A4C5-BE56B469B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707380" y="11932920"/>
          <a:ext cx="600000" cy="276190"/>
        </a:xfrm>
        <a:prstGeom prst="rect">
          <a:avLst/>
        </a:prstGeom>
      </xdr:spPr>
    </xdr:pic>
    <xdr:clientData/>
  </xdr:twoCellAnchor>
  <xdr:twoCellAnchor>
    <xdr:from>
      <xdr:col>6</xdr:col>
      <xdr:colOff>396240</xdr:colOff>
      <xdr:row>59</xdr:row>
      <xdr:rowOff>45720</xdr:rowOff>
    </xdr:from>
    <xdr:to>
      <xdr:col>10</xdr:col>
      <xdr:colOff>533400</xdr:colOff>
      <xdr:row>62</xdr:row>
      <xdr:rowOff>175260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xmlns="" id="{F66AC96A-0140-4DC5-9027-C6E043C17B9F}"/>
            </a:ext>
          </a:extLst>
        </xdr:cNvPr>
        <xdr:cNvSpPr/>
      </xdr:nvSpPr>
      <xdr:spPr>
        <a:xfrm>
          <a:off x="3558540" y="10835640"/>
          <a:ext cx="2545080" cy="678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bg1">
                  <a:lumMod val="75000"/>
                </a:schemeClr>
              </a:solidFill>
            </a:rPr>
            <a:t>Siempre visible </a:t>
          </a:r>
          <a:r>
            <a:rPr lang="en-GB" sz="1100" baseline="0"/>
            <a:t>"Insulation in cold systems is critical not only for energy efficiency but for safety and process requirements </a:t>
          </a:r>
          <a:endParaRPr lang="en-GB" sz="1100"/>
        </a:p>
      </xdr:txBody>
    </xdr:sp>
    <xdr:clientData/>
  </xdr:twoCellAnchor>
  <xdr:twoCellAnchor>
    <xdr:from>
      <xdr:col>1</xdr:col>
      <xdr:colOff>0</xdr:colOff>
      <xdr:row>46</xdr:row>
      <xdr:rowOff>7620</xdr:rowOff>
    </xdr:from>
    <xdr:to>
      <xdr:col>5</xdr:col>
      <xdr:colOff>266700</xdr:colOff>
      <xdr:row>49</xdr:row>
      <xdr:rowOff>137160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xmlns="" id="{B944D585-E15F-4023-872B-0536A542549C}"/>
            </a:ext>
          </a:extLst>
        </xdr:cNvPr>
        <xdr:cNvSpPr/>
      </xdr:nvSpPr>
      <xdr:spPr>
        <a:xfrm>
          <a:off x="358140" y="8420100"/>
          <a:ext cx="2545080" cy="678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bg1">
                  <a:lumMod val="75000"/>
                </a:schemeClr>
              </a:solidFill>
            </a:rPr>
            <a:t>Siempre visible </a:t>
          </a:r>
          <a:r>
            <a:rPr lang="en-GB" sz="1100" baseline="0"/>
            <a:t>"Insulation in cold systems is critical not only for energy efficiency but for safety and process requirements </a:t>
          </a:r>
          <a:endParaRPr lang="en-GB" sz="1100"/>
        </a:p>
      </xdr:txBody>
    </xdr:sp>
    <xdr:clientData/>
  </xdr:twoCellAnchor>
  <xdr:twoCellAnchor>
    <xdr:from>
      <xdr:col>1</xdr:col>
      <xdr:colOff>320040</xdr:colOff>
      <xdr:row>4</xdr:row>
      <xdr:rowOff>38100</xdr:rowOff>
    </xdr:from>
    <xdr:to>
      <xdr:col>6</xdr:col>
      <xdr:colOff>60960</xdr:colOff>
      <xdr:row>5</xdr:row>
      <xdr:rowOff>45720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xmlns="" id="{0B9ED530-532D-4585-93B2-DABF2E165424}"/>
            </a:ext>
          </a:extLst>
        </xdr:cNvPr>
        <xdr:cNvSpPr/>
      </xdr:nvSpPr>
      <xdr:spPr>
        <a:xfrm>
          <a:off x="678180" y="769620"/>
          <a:ext cx="2545080" cy="190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aseline="0"/>
            <a:t>Condensation</a:t>
          </a:r>
          <a:endParaRPr lang="en-GB" sz="1100"/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458728</xdr:colOff>
      <xdr:row>30</xdr:row>
      <xdr:rowOff>23453</xdr:rowOff>
    </xdr:from>
    <xdr:to>
      <xdr:col>27</xdr:col>
      <xdr:colOff>198110</xdr:colOff>
      <xdr:row>33</xdr:row>
      <xdr:rowOff>121144</xdr:rowOff>
    </xdr:to>
    <xdr:sp macro="" textlink="">
      <xdr:nvSpPr>
        <xdr:cNvPr id="2" name="TextBox 22">
          <a:extLst>
            <a:ext uri="{FF2B5EF4-FFF2-40B4-BE49-F238E27FC236}">
              <a16:creationId xmlns:a16="http://schemas.microsoft.com/office/drawing/2014/main" xmlns="" id="{81175B99-5249-4661-BBDE-3F397D8B070A}"/>
            </a:ext>
          </a:extLst>
        </xdr:cNvPr>
        <xdr:cNvSpPr txBox="1"/>
      </xdr:nvSpPr>
      <xdr:spPr>
        <a:xfrm>
          <a:off x="13016488" y="5433653"/>
          <a:ext cx="1141462" cy="64633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b="1">
              <a:solidFill>
                <a:schemeClr val="bg1"/>
              </a:solidFill>
            </a:rPr>
            <a:t>DAMAGE INSULATION </a:t>
          </a:r>
        </a:p>
      </xdr:txBody>
    </xdr:sp>
    <xdr:clientData/>
  </xdr:twoCellAnchor>
  <xdr:twoCellAnchor editAs="oneCell">
    <xdr:from>
      <xdr:col>17</xdr:col>
      <xdr:colOff>22860</xdr:colOff>
      <xdr:row>25</xdr:row>
      <xdr:rowOff>45720</xdr:rowOff>
    </xdr:from>
    <xdr:to>
      <xdr:col>18</xdr:col>
      <xdr:colOff>99060</xdr:colOff>
      <xdr:row>28</xdr:row>
      <xdr:rowOff>53340</xdr:rowOff>
    </xdr:to>
    <xdr:pic>
      <xdr:nvPicPr>
        <xdr:cNvPr id="3" name="Graphic 2" descr="Shar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FAA767C2-8A5E-4DB1-9C24-B70745A37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8930640" y="4495800"/>
          <a:ext cx="510540" cy="556260"/>
        </a:xfrm>
        <a:prstGeom prst="rect">
          <a:avLst/>
        </a:prstGeom>
      </xdr:spPr>
    </xdr:pic>
    <xdr:clientData/>
  </xdr:twoCellAnchor>
  <xdr:twoCellAnchor editAs="oneCell">
    <xdr:from>
      <xdr:col>18</xdr:col>
      <xdr:colOff>34972</xdr:colOff>
      <xdr:row>13</xdr:row>
      <xdr:rowOff>50570</xdr:rowOff>
    </xdr:from>
    <xdr:to>
      <xdr:col>18</xdr:col>
      <xdr:colOff>337011</xdr:colOff>
      <xdr:row>15</xdr:row>
      <xdr:rowOff>3117</xdr:rowOff>
    </xdr:to>
    <xdr:pic>
      <xdr:nvPicPr>
        <xdr:cNvPr id="4" name="Picture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E76DD882-7F28-4DDB-8DB0-1D491F82D1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/>
        <a:srcRect t="4629"/>
        <a:stretch/>
      </xdr:blipFill>
      <xdr:spPr>
        <a:xfrm>
          <a:off x="9377092" y="2313710"/>
          <a:ext cx="302039" cy="310687"/>
        </a:xfrm>
        <a:prstGeom prst="rect">
          <a:avLst/>
        </a:prstGeom>
      </xdr:spPr>
    </xdr:pic>
    <xdr:clientData/>
  </xdr:twoCellAnchor>
  <xdr:twoCellAnchor>
    <xdr:from>
      <xdr:col>0</xdr:col>
      <xdr:colOff>220980</xdr:colOff>
      <xdr:row>0</xdr:row>
      <xdr:rowOff>175260</xdr:rowOff>
    </xdr:from>
    <xdr:to>
      <xdr:col>3</xdr:col>
      <xdr:colOff>603893</xdr:colOff>
      <xdr:row>2</xdr:row>
      <xdr:rowOff>53340</xdr:rowOff>
    </xdr:to>
    <xdr:sp macro="" textlink="">
      <xdr:nvSpPr>
        <xdr:cNvPr id="6" name="Flowchart: Terminator 5">
          <a:extLst>
            <a:ext uri="{FF2B5EF4-FFF2-40B4-BE49-F238E27FC236}">
              <a16:creationId xmlns:a16="http://schemas.microsoft.com/office/drawing/2014/main" xmlns="" id="{EFDD6744-8073-4C90-AC07-60E6269E4085}"/>
            </a:ext>
          </a:extLst>
        </xdr:cNvPr>
        <xdr:cNvSpPr/>
      </xdr:nvSpPr>
      <xdr:spPr>
        <a:xfrm>
          <a:off x="220980" y="175260"/>
          <a:ext cx="1708793" cy="274320"/>
        </a:xfrm>
        <a:prstGeom prst="flowChartTerminator">
          <a:avLst/>
        </a:prstGeom>
        <a:solidFill>
          <a:schemeClr val="accent1">
            <a:lumMod val="60000"/>
            <a:lumOff val="4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600"/>
            <a:t>Leakage</a:t>
          </a:r>
          <a:endParaRPr lang="en-GB" sz="1100"/>
        </a:p>
      </xdr:txBody>
    </xdr:sp>
    <xdr:clientData/>
  </xdr:twoCellAnchor>
  <xdr:twoCellAnchor>
    <xdr:from>
      <xdr:col>16</xdr:col>
      <xdr:colOff>533400</xdr:colOff>
      <xdr:row>1</xdr:row>
      <xdr:rowOff>22860</xdr:rowOff>
    </xdr:from>
    <xdr:to>
      <xdr:col>18</xdr:col>
      <xdr:colOff>175260</xdr:colOff>
      <xdr:row>2</xdr:row>
      <xdr:rowOff>22860</xdr:rowOff>
    </xdr:to>
    <xdr:sp macro="" textlink="">
      <xdr:nvSpPr>
        <xdr:cNvPr id="7" name="Flowchart: Terminator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xmlns="" id="{5D37CE0E-12D7-4E4E-AE74-AB740AE200DE}"/>
            </a:ext>
          </a:extLst>
        </xdr:cNvPr>
        <xdr:cNvSpPr/>
      </xdr:nvSpPr>
      <xdr:spPr>
        <a:xfrm>
          <a:off x="8831580" y="205740"/>
          <a:ext cx="685800" cy="213360"/>
        </a:xfrm>
        <a:prstGeom prst="flowChartTerminator">
          <a:avLst/>
        </a:prstGeom>
        <a:solidFill>
          <a:schemeClr val="accent6">
            <a:lumMod val="50000"/>
          </a:schemeClr>
        </a:solidFill>
        <a:ln w="254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 b="1"/>
            <a:t>End </a:t>
          </a: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144780</xdr:colOff>
      <xdr:row>20</xdr:row>
      <xdr:rowOff>38100</xdr:rowOff>
    </xdr:from>
    <xdr:to>
      <xdr:col>10</xdr:col>
      <xdr:colOff>73983</xdr:colOff>
      <xdr:row>30</xdr:row>
      <xdr:rowOff>175260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DC431B59-E1BB-47DE-B37C-68D0D5CE44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764280"/>
          <a:ext cx="2283783" cy="1981200"/>
        </a:xfrm>
        <a:prstGeom prst="rect">
          <a:avLst/>
        </a:prstGeom>
      </xdr:spPr>
    </xdr:pic>
    <xdr:clientData/>
  </xdr:twoCellAnchor>
  <xdr:twoCellAnchor editAs="oneCell">
    <xdr:from>
      <xdr:col>6</xdr:col>
      <xdr:colOff>129539</xdr:colOff>
      <xdr:row>16</xdr:row>
      <xdr:rowOff>59470</xdr:rowOff>
    </xdr:from>
    <xdr:to>
      <xdr:col>9</xdr:col>
      <xdr:colOff>83820</xdr:colOff>
      <xdr:row>18</xdr:row>
      <xdr:rowOff>138939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7CB8E61-9531-4A5A-89F7-292773B6A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71259" y="3046510"/>
          <a:ext cx="1699261" cy="4528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121920</xdr:colOff>
      <xdr:row>1</xdr:row>
      <xdr:rowOff>38100</xdr:rowOff>
    </xdr:from>
    <xdr:to>
      <xdr:col>10</xdr:col>
      <xdr:colOff>506418</xdr:colOff>
      <xdr:row>1</xdr:row>
      <xdr:rowOff>454884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CB1AA080-AF74-4A1D-BFF7-05ACB7471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96500" y="762000"/>
          <a:ext cx="384498" cy="416784"/>
        </a:xfrm>
        <a:prstGeom prst="rect">
          <a:avLst/>
        </a:prstGeom>
      </xdr:spPr>
    </xdr:pic>
    <xdr:clientData/>
  </xdr:twoCellAnchor>
  <xdr:twoCellAnchor editAs="oneCell">
    <xdr:from>
      <xdr:col>10</xdr:col>
      <xdr:colOff>83820</xdr:colOff>
      <xdr:row>2</xdr:row>
      <xdr:rowOff>297180</xdr:rowOff>
    </xdr:from>
    <xdr:to>
      <xdr:col>10</xdr:col>
      <xdr:colOff>526513</xdr:colOff>
      <xdr:row>3</xdr:row>
      <xdr:rowOff>236220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FDE1E2B-B087-4FC8-BE0C-69AF5494E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58400" y="1485900"/>
          <a:ext cx="442693" cy="40386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5</xdr:row>
      <xdr:rowOff>53341</xdr:rowOff>
    </xdr:from>
    <xdr:to>
      <xdr:col>10</xdr:col>
      <xdr:colOff>447071</xdr:colOff>
      <xdr:row>5</xdr:row>
      <xdr:rowOff>396240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8A4A994E-0C0B-4224-BAE0-A3BCC20F7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0088880" y="2636521"/>
          <a:ext cx="332771" cy="342899"/>
        </a:xfrm>
        <a:prstGeom prst="rect">
          <a:avLst/>
        </a:prstGeom>
      </xdr:spPr>
    </xdr:pic>
    <xdr:clientData/>
  </xdr:twoCellAnchor>
  <xdr:twoCellAnchor editAs="oneCell">
    <xdr:from>
      <xdr:col>10</xdr:col>
      <xdr:colOff>91440</xdr:colOff>
      <xdr:row>4</xdr:row>
      <xdr:rowOff>30480</xdr:rowOff>
    </xdr:from>
    <xdr:to>
      <xdr:col>10</xdr:col>
      <xdr:colOff>457200</xdr:colOff>
      <xdr:row>4</xdr:row>
      <xdr:rowOff>388620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900865B2-9CEA-4836-B1C6-B6922067D6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7460" t="25398" r="6350"/>
        <a:stretch/>
      </xdr:blipFill>
      <xdr:spPr>
        <a:xfrm>
          <a:off x="10066020" y="2148840"/>
          <a:ext cx="365760" cy="358140"/>
        </a:xfrm>
        <a:prstGeom prst="rect">
          <a:avLst/>
        </a:prstGeom>
      </xdr:spPr>
    </xdr:pic>
    <xdr:clientData/>
  </xdr:twoCellAnchor>
  <xdr:twoCellAnchor editAs="oneCell">
    <xdr:from>
      <xdr:col>10</xdr:col>
      <xdr:colOff>106680</xdr:colOff>
      <xdr:row>6</xdr:row>
      <xdr:rowOff>83820</xdr:rowOff>
    </xdr:from>
    <xdr:to>
      <xdr:col>10</xdr:col>
      <xdr:colOff>528858</xdr:colOff>
      <xdr:row>6</xdr:row>
      <xdr:rowOff>411480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F674602B-2C8F-4A89-83A0-2835BAF49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81260" y="3131820"/>
          <a:ext cx="422178" cy="3276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205106</xdr:colOff>
      <xdr:row>5</xdr:row>
      <xdr:rowOff>254214</xdr:rowOff>
    </xdr:from>
    <xdr:to>
      <xdr:col>16</xdr:col>
      <xdr:colOff>460292</xdr:colOff>
      <xdr:row>7</xdr:row>
      <xdr:rowOff>70274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xmlns="" id="{9E2C078B-7E41-4C7D-95B1-78932599D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9281373" y="1676614"/>
          <a:ext cx="255186" cy="408727"/>
        </a:xfrm>
        <a:prstGeom prst="rect">
          <a:avLst/>
        </a:prstGeom>
      </xdr:spPr>
    </xdr:pic>
    <xdr:clientData/>
  </xdr:twoCellAnchor>
  <xdr:twoCellAnchor editAs="oneCell">
    <xdr:from>
      <xdr:col>16</xdr:col>
      <xdr:colOff>222819</xdr:colOff>
      <xdr:row>8</xdr:row>
      <xdr:rowOff>283634</xdr:rowOff>
    </xdr:from>
    <xdr:to>
      <xdr:col>16</xdr:col>
      <xdr:colOff>478367</xdr:colOff>
      <xdr:row>10</xdr:row>
      <xdr:rowOff>93133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xmlns="" id="{E64A1D99-689E-4A97-944C-81FBE6373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9299086" y="2595034"/>
          <a:ext cx="255548" cy="419099"/>
        </a:xfrm>
        <a:prstGeom prst="rect">
          <a:avLst/>
        </a:prstGeom>
      </xdr:spPr>
    </xdr:pic>
    <xdr:clientData/>
  </xdr:twoCellAnchor>
  <xdr:twoCellAnchor editAs="oneCell">
    <xdr:from>
      <xdr:col>10</xdr:col>
      <xdr:colOff>174414</xdr:colOff>
      <xdr:row>3</xdr:row>
      <xdr:rowOff>97810</xdr:rowOff>
    </xdr:from>
    <xdr:to>
      <xdr:col>10</xdr:col>
      <xdr:colOff>787400</xdr:colOff>
      <xdr:row>3</xdr:row>
      <xdr:rowOff>673734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xmlns="" id="{D16D4E17-4443-4BEB-9B67-FEB172087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70881" y="605810"/>
          <a:ext cx="612986" cy="575924"/>
        </a:xfrm>
        <a:prstGeom prst="rect">
          <a:avLst/>
        </a:prstGeom>
      </xdr:spPr>
    </xdr:pic>
    <xdr:clientData/>
  </xdr:twoCellAnchor>
  <xdr:twoCellAnchor editAs="oneCell">
    <xdr:from>
      <xdr:col>12</xdr:col>
      <xdr:colOff>168487</xdr:colOff>
      <xdr:row>3</xdr:row>
      <xdr:rowOff>145491</xdr:rowOff>
    </xdr:from>
    <xdr:to>
      <xdr:col>12</xdr:col>
      <xdr:colOff>753533</xdr:colOff>
      <xdr:row>3</xdr:row>
      <xdr:rowOff>684562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xmlns="" id="{CF4064DC-420B-47A7-B5ED-68F7292379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07954" y="653491"/>
          <a:ext cx="585046" cy="539071"/>
        </a:xfrm>
        <a:prstGeom prst="rect">
          <a:avLst/>
        </a:prstGeom>
      </xdr:spPr>
    </xdr:pic>
    <xdr:clientData/>
  </xdr:twoCellAnchor>
  <xdr:twoCellAnchor editAs="oneCell">
    <xdr:from>
      <xdr:col>14</xdr:col>
      <xdr:colOff>149859</xdr:colOff>
      <xdr:row>3</xdr:row>
      <xdr:rowOff>169333</xdr:rowOff>
    </xdr:from>
    <xdr:to>
      <xdr:col>14</xdr:col>
      <xdr:colOff>719666</xdr:colOff>
      <xdr:row>3</xdr:row>
      <xdr:rowOff>678149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xmlns="" id="{7958906B-A94E-4435-BBFA-945EBD850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49259" y="677333"/>
          <a:ext cx="569807" cy="508816"/>
        </a:xfrm>
        <a:prstGeom prst="rect">
          <a:avLst/>
        </a:prstGeom>
      </xdr:spPr>
    </xdr:pic>
    <xdr:clientData/>
  </xdr:twoCellAnchor>
  <xdr:twoCellAnchor>
    <xdr:from>
      <xdr:col>24</xdr:col>
      <xdr:colOff>592667</xdr:colOff>
      <xdr:row>0</xdr:row>
      <xdr:rowOff>0</xdr:rowOff>
    </xdr:from>
    <xdr:to>
      <xdr:col>25</xdr:col>
      <xdr:colOff>33867</xdr:colOff>
      <xdr:row>19</xdr:row>
      <xdr:rowOff>152399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xmlns="" id="{6F2A1001-A3BC-47D4-A7DF-61416C581456}"/>
            </a:ext>
          </a:extLst>
        </xdr:cNvPr>
        <xdr:cNvCxnSpPr/>
      </xdr:nvCxnSpPr>
      <xdr:spPr>
        <a:xfrm>
          <a:off x="12098867" y="0"/>
          <a:ext cx="50800" cy="62568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508000</xdr:colOff>
      <xdr:row>2</xdr:row>
      <xdr:rowOff>50800</xdr:rowOff>
    </xdr:from>
    <xdr:to>
      <xdr:col>29</xdr:col>
      <xdr:colOff>338667</xdr:colOff>
      <xdr:row>5</xdr:row>
      <xdr:rowOff>169333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8CFAEBFA-3381-40C0-B41C-514C815D409E}"/>
            </a:ext>
          </a:extLst>
        </xdr:cNvPr>
        <xdr:cNvSpPr/>
      </xdr:nvSpPr>
      <xdr:spPr>
        <a:xfrm>
          <a:off x="13843000" y="364067"/>
          <a:ext cx="1049867" cy="1227666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21</xdr:col>
      <xdr:colOff>225390</xdr:colOff>
      <xdr:row>36</xdr:row>
      <xdr:rowOff>8467</xdr:rowOff>
    </xdr:from>
    <xdr:to>
      <xdr:col>22</xdr:col>
      <xdr:colOff>143031</xdr:colOff>
      <xdr:row>37</xdr:row>
      <xdr:rowOff>67734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40EA19C3-540F-4489-AAD7-592E760E6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1164323" y="8373534"/>
          <a:ext cx="290175" cy="245533"/>
        </a:xfrm>
        <a:prstGeom prst="rect">
          <a:avLst/>
        </a:prstGeom>
      </xdr:spPr>
    </xdr:pic>
    <xdr:clientData/>
  </xdr:twoCellAnchor>
  <xdr:twoCellAnchor editAs="oneCell">
    <xdr:from>
      <xdr:col>24</xdr:col>
      <xdr:colOff>183057</xdr:colOff>
      <xdr:row>35</xdr:row>
      <xdr:rowOff>160867</xdr:rowOff>
    </xdr:from>
    <xdr:to>
      <xdr:col>24</xdr:col>
      <xdr:colOff>473232</xdr:colOff>
      <xdr:row>37</xdr:row>
      <xdr:rowOff>33867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xmlns="" id="{626B854B-1488-4C86-AE52-0DF85853F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1867057" y="8339667"/>
          <a:ext cx="290175" cy="245533"/>
        </a:xfrm>
        <a:prstGeom prst="rect">
          <a:avLst/>
        </a:prstGeom>
      </xdr:spPr>
    </xdr:pic>
    <xdr:clientData/>
  </xdr:twoCellAnchor>
  <xdr:twoCellAnchor>
    <xdr:from>
      <xdr:col>3</xdr:col>
      <xdr:colOff>381000</xdr:colOff>
      <xdr:row>4</xdr:row>
      <xdr:rowOff>50799</xdr:rowOff>
    </xdr:from>
    <xdr:to>
      <xdr:col>17</xdr:col>
      <xdr:colOff>135467</xdr:colOff>
      <xdr:row>4</xdr:row>
      <xdr:rowOff>186267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xmlns="" id="{6988E06B-CFD7-4DE2-AAE0-43F490697A1C}"/>
            </a:ext>
          </a:extLst>
        </xdr:cNvPr>
        <xdr:cNvSpPr/>
      </xdr:nvSpPr>
      <xdr:spPr>
        <a:xfrm>
          <a:off x="1752600" y="1261532"/>
          <a:ext cx="8161867" cy="135468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101600</xdr:colOff>
      <xdr:row>1</xdr:row>
      <xdr:rowOff>237065</xdr:rowOff>
    </xdr:from>
    <xdr:to>
      <xdr:col>17</xdr:col>
      <xdr:colOff>118533</xdr:colOff>
      <xdr:row>3</xdr:row>
      <xdr:rowOff>118533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xmlns="" id="{E564FDBF-EC3D-487D-BD25-D83350F3E231}"/>
            </a:ext>
          </a:extLst>
        </xdr:cNvPr>
        <xdr:cNvSpPr/>
      </xdr:nvSpPr>
      <xdr:spPr>
        <a:xfrm>
          <a:off x="5554133" y="313265"/>
          <a:ext cx="4343400" cy="313268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127000</xdr:colOff>
      <xdr:row>3</xdr:row>
      <xdr:rowOff>33865</xdr:rowOff>
    </xdr:from>
    <xdr:to>
      <xdr:col>10</xdr:col>
      <xdr:colOff>186266</xdr:colOff>
      <xdr:row>4</xdr:row>
      <xdr:rowOff>16934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xmlns="" id="{AE55437E-9B0F-4F87-B5BE-B3B24CBFFDAD}"/>
            </a:ext>
          </a:extLst>
        </xdr:cNvPr>
        <xdr:cNvSpPr/>
      </xdr:nvSpPr>
      <xdr:spPr>
        <a:xfrm>
          <a:off x="5579533" y="541865"/>
          <a:ext cx="203200" cy="685802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804333</xdr:colOff>
      <xdr:row>3</xdr:row>
      <xdr:rowOff>25398</xdr:rowOff>
    </xdr:from>
    <xdr:to>
      <xdr:col>11</xdr:col>
      <xdr:colOff>8467</xdr:colOff>
      <xdr:row>4</xdr:row>
      <xdr:rowOff>8467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xmlns="" id="{3C81A4AA-EFC2-433E-86E9-90FE04C1B88A}"/>
            </a:ext>
          </a:extLst>
        </xdr:cNvPr>
        <xdr:cNvSpPr/>
      </xdr:nvSpPr>
      <xdr:spPr>
        <a:xfrm>
          <a:off x="6400800" y="533398"/>
          <a:ext cx="203200" cy="685802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956733</xdr:colOff>
      <xdr:row>3</xdr:row>
      <xdr:rowOff>177798</xdr:rowOff>
    </xdr:from>
    <xdr:to>
      <xdr:col>12</xdr:col>
      <xdr:colOff>16933</xdr:colOff>
      <xdr:row>4</xdr:row>
      <xdr:rowOff>160867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xmlns="" id="{7D19A764-E4BE-4E3D-83E1-53FCB684DC38}"/>
            </a:ext>
          </a:extLst>
        </xdr:cNvPr>
        <xdr:cNvSpPr/>
      </xdr:nvSpPr>
      <xdr:spPr>
        <a:xfrm>
          <a:off x="6553200" y="685798"/>
          <a:ext cx="203200" cy="685802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93134</xdr:colOff>
      <xdr:row>3</xdr:row>
      <xdr:rowOff>50798</xdr:rowOff>
    </xdr:from>
    <xdr:to>
      <xdr:col>12</xdr:col>
      <xdr:colOff>152400</xdr:colOff>
      <xdr:row>4</xdr:row>
      <xdr:rowOff>33867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xmlns="" id="{51F15DB1-D4B7-454E-B917-0FEDF3A8FD4C}"/>
            </a:ext>
          </a:extLst>
        </xdr:cNvPr>
        <xdr:cNvSpPr/>
      </xdr:nvSpPr>
      <xdr:spPr>
        <a:xfrm>
          <a:off x="6688667" y="558798"/>
          <a:ext cx="203200" cy="685802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778933</xdr:colOff>
      <xdr:row>3</xdr:row>
      <xdr:rowOff>84665</xdr:rowOff>
    </xdr:from>
    <xdr:to>
      <xdr:col>12</xdr:col>
      <xdr:colOff>982133</xdr:colOff>
      <xdr:row>4</xdr:row>
      <xdr:rowOff>67734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xmlns="" id="{BD3F89E6-CD4D-4394-9C17-4F5B9D3D0154}"/>
            </a:ext>
          </a:extLst>
        </xdr:cNvPr>
        <xdr:cNvSpPr/>
      </xdr:nvSpPr>
      <xdr:spPr>
        <a:xfrm>
          <a:off x="7518400" y="592665"/>
          <a:ext cx="203200" cy="685802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931333</xdr:colOff>
      <xdr:row>3</xdr:row>
      <xdr:rowOff>237065</xdr:rowOff>
    </xdr:from>
    <xdr:to>
      <xdr:col>13</xdr:col>
      <xdr:colOff>135467</xdr:colOff>
      <xdr:row>5</xdr:row>
      <xdr:rowOff>8467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xmlns="" id="{9E14A91B-3D7A-4E6E-A0A6-7790C12E62DC}"/>
            </a:ext>
          </a:extLst>
        </xdr:cNvPr>
        <xdr:cNvSpPr/>
      </xdr:nvSpPr>
      <xdr:spPr>
        <a:xfrm>
          <a:off x="7670800" y="745065"/>
          <a:ext cx="203200" cy="685802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152400</xdr:colOff>
      <xdr:row>3</xdr:row>
      <xdr:rowOff>42331</xdr:rowOff>
    </xdr:from>
    <xdr:to>
      <xdr:col>14</xdr:col>
      <xdr:colOff>169333</xdr:colOff>
      <xdr:row>4</xdr:row>
      <xdr:rowOff>25400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xmlns="" id="{B3BDBA5F-E89A-4498-B251-B2764FE958A6}"/>
            </a:ext>
          </a:extLst>
        </xdr:cNvPr>
        <xdr:cNvSpPr/>
      </xdr:nvSpPr>
      <xdr:spPr>
        <a:xfrm>
          <a:off x="7890933" y="550331"/>
          <a:ext cx="177800" cy="685802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728132</xdr:colOff>
      <xdr:row>3</xdr:row>
      <xdr:rowOff>110064</xdr:rowOff>
    </xdr:from>
    <xdr:to>
      <xdr:col>15</xdr:col>
      <xdr:colOff>42332</xdr:colOff>
      <xdr:row>4</xdr:row>
      <xdr:rowOff>93133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xmlns="" id="{F24E1513-C565-45E4-9E60-C76FED261012}"/>
            </a:ext>
          </a:extLst>
        </xdr:cNvPr>
        <xdr:cNvSpPr/>
      </xdr:nvSpPr>
      <xdr:spPr>
        <a:xfrm>
          <a:off x="8627532" y="618064"/>
          <a:ext cx="313267" cy="685802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508000</xdr:colOff>
      <xdr:row>2</xdr:row>
      <xdr:rowOff>186266</xdr:rowOff>
    </xdr:from>
    <xdr:to>
      <xdr:col>9</xdr:col>
      <xdr:colOff>135467</xdr:colOff>
      <xdr:row>3</xdr:row>
      <xdr:rowOff>101601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xmlns="" id="{33BD5AFA-198B-490C-9AD7-C0C5BEF5E8A7}"/>
            </a:ext>
          </a:extLst>
        </xdr:cNvPr>
        <xdr:cNvSpPr/>
      </xdr:nvSpPr>
      <xdr:spPr>
        <a:xfrm>
          <a:off x="1879600" y="499533"/>
          <a:ext cx="3708400" cy="110068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13547</xdr:colOff>
      <xdr:row>3</xdr:row>
      <xdr:rowOff>101600</xdr:rowOff>
    </xdr:from>
    <xdr:to>
      <xdr:col>6</xdr:col>
      <xdr:colOff>59266</xdr:colOff>
      <xdr:row>17</xdr:row>
      <xdr:rowOff>296334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xmlns="" id="{0BAEB0C1-8004-49B9-AF72-6826B9004E83}"/>
            </a:ext>
          </a:extLst>
        </xdr:cNvPr>
        <xdr:cNvSpPr/>
      </xdr:nvSpPr>
      <xdr:spPr>
        <a:xfrm>
          <a:off x="3264747" y="609600"/>
          <a:ext cx="45719" cy="4665134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16</xdr:col>
      <xdr:colOff>262465</xdr:colOff>
      <xdr:row>11</xdr:row>
      <xdr:rowOff>294641</xdr:rowOff>
    </xdr:from>
    <xdr:to>
      <xdr:col>16</xdr:col>
      <xdr:colOff>536332</xdr:colOff>
      <xdr:row>12</xdr:row>
      <xdr:rowOff>275150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xmlns="" id="{5098C969-E813-46E3-A1ED-613CC5B9B5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9338732" y="3520441"/>
          <a:ext cx="273867" cy="285309"/>
        </a:xfrm>
        <a:prstGeom prst="rect">
          <a:avLst/>
        </a:prstGeom>
      </xdr:spPr>
    </xdr:pic>
    <xdr:clientData/>
  </xdr:twoCellAnchor>
  <xdr:twoCellAnchor editAs="oneCell">
    <xdr:from>
      <xdr:col>10</xdr:col>
      <xdr:colOff>482601</xdr:colOff>
      <xdr:row>14</xdr:row>
      <xdr:rowOff>33868</xdr:rowOff>
    </xdr:from>
    <xdr:to>
      <xdr:col>12</xdr:col>
      <xdr:colOff>601134</xdr:colOff>
      <xdr:row>16</xdr:row>
      <xdr:rowOff>259128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D9C9D3B2-829B-434B-8EF8-5C16821DA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79068" y="4174068"/>
          <a:ext cx="1261533" cy="784060"/>
        </a:xfrm>
        <a:prstGeom prst="rect">
          <a:avLst/>
        </a:prstGeom>
      </xdr:spPr>
    </xdr:pic>
    <xdr:clientData/>
  </xdr:twoCellAnchor>
  <xdr:twoCellAnchor editAs="oneCell">
    <xdr:from>
      <xdr:col>14</xdr:col>
      <xdr:colOff>245535</xdr:colOff>
      <xdr:row>14</xdr:row>
      <xdr:rowOff>118533</xdr:rowOff>
    </xdr:from>
    <xdr:to>
      <xdr:col>14</xdr:col>
      <xdr:colOff>728135</xdr:colOff>
      <xdr:row>16</xdr:row>
      <xdr:rowOff>30167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850C43C5-F287-4101-85BB-6C182A5961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144935" y="4258733"/>
          <a:ext cx="482600" cy="470434"/>
        </a:xfrm>
        <a:prstGeom prst="rect">
          <a:avLst/>
        </a:prstGeom>
      </xdr:spPr>
    </xdr:pic>
    <xdr:clientData/>
  </xdr:twoCellAnchor>
  <xdr:oneCellAnchor>
    <xdr:from>
      <xdr:col>13</xdr:col>
      <xdr:colOff>123341</xdr:colOff>
      <xdr:row>16</xdr:row>
      <xdr:rowOff>27938</xdr:rowOff>
    </xdr:from>
    <xdr:ext cx="1172059" cy="274543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xmlns="" id="{4ED04908-78EF-45B9-BF22-89C2BA14CC7A}"/>
            </a:ext>
          </a:extLst>
        </xdr:cNvPr>
        <xdr:cNvSpPr txBox="1"/>
      </xdr:nvSpPr>
      <xdr:spPr>
        <a:xfrm>
          <a:off x="7861874" y="4726938"/>
          <a:ext cx="1172059" cy="2745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000" i="1"/>
            <a:t>Insulation</a:t>
          </a:r>
          <a:r>
            <a:rPr lang="en-GB" sz="1000" i="1" baseline="0"/>
            <a:t> expert </a:t>
          </a:r>
          <a:endParaRPr lang="en-GB" sz="1000" i="1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12</xdr:row>
      <xdr:rowOff>76200</xdr:rowOff>
    </xdr:from>
    <xdr:to>
      <xdr:col>5</xdr:col>
      <xdr:colOff>482600</xdr:colOff>
      <xdr:row>20</xdr:row>
      <xdr:rowOff>91440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xmlns="" id="{C6F16BD9-7282-459C-95A1-B3A9CC3E1A79}"/>
            </a:ext>
          </a:extLst>
        </xdr:cNvPr>
        <xdr:cNvSpPr/>
      </xdr:nvSpPr>
      <xdr:spPr>
        <a:xfrm>
          <a:off x="2225040" y="2270760"/>
          <a:ext cx="1305560" cy="1478280"/>
        </a:xfrm>
        <a:prstGeom prst="rect">
          <a:avLst/>
        </a:prstGeom>
        <a:noFill/>
        <a:ln w="41275">
          <a:solidFill>
            <a:schemeClr val="bg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</xdr:col>
      <xdr:colOff>558800</xdr:colOff>
      <xdr:row>22</xdr:row>
      <xdr:rowOff>155173</xdr:rowOff>
    </xdr:from>
    <xdr:to>
      <xdr:col>2</xdr:col>
      <xdr:colOff>98830</xdr:colOff>
      <xdr:row>24</xdr:row>
      <xdr:rowOff>35181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xmlns="" id="{48C8A1F2-841C-4120-8362-C66FF17AA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68400" y="4178533"/>
          <a:ext cx="149630" cy="24576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</xdr:row>
      <xdr:rowOff>0</xdr:rowOff>
    </xdr:from>
    <xdr:to>
      <xdr:col>21</xdr:col>
      <xdr:colOff>275733</xdr:colOff>
      <xdr:row>37</xdr:row>
      <xdr:rowOff>33741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6CE41366-B9FF-46E7-8362-8CFC18AF7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07500" y="444500"/>
          <a:ext cx="3958733" cy="6383741"/>
        </a:xfrm>
        <a:prstGeom prst="rect">
          <a:avLst/>
        </a:prstGeom>
      </xdr:spPr>
    </xdr:pic>
    <xdr:clientData/>
  </xdr:twoCellAnchor>
  <xdr:twoCellAnchor editAs="oneCell">
    <xdr:from>
      <xdr:col>16</xdr:col>
      <xdr:colOff>380999</xdr:colOff>
      <xdr:row>20</xdr:row>
      <xdr:rowOff>83128</xdr:rowOff>
    </xdr:from>
    <xdr:to>
      <xdr:col>17</xdr:col>
      <xdr:colOff>537149</xdr:colOff>
      <xdr:row>29</xdr:row>
      <xdr:rowOff>78701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xmlns="" id="{EF79F4EA-70F2-4F03-9C48-5FA1CE8952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0800000">
          <a:off x="7696199" y="3505201"/>
          <a:ext cx="765750" cy="1669472"/>
        </a:xfrm>
        <a:prstGeom prst="rect">
          <a:avLst/>
        </a:prstGeom>
      </xdr:spPr>
    </xdr:pic>
    <xdr:clientData/>
  </xdr:twoCellAnchor>
  <xdr:twoCellAnchor editAs="oneCell">
    <xdr:from>
      <xdr:col>17</xdr:col>
      <xdr:colOff>592017</xdr:colOff>
      <xdr:row>19</xdr:row>
      <xdr:rowOff>48232</xdr:rowOff>
    </xdr:from>
    <xdr:to>
      <xdr:col>19</xdr:col>
      <xdr:colOff>256813</xdr:colOff>
      <xdr:row>29</xdr:row>
      <xdr:rowOff>394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xmlns="" id="{A59F5A45-5B82-45A9-A483-5326734FD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0800000">
          <a:off x="11027184" y="3551315"/>
          <a:ext cx="892462" cy="1804246"/>
        </a:xfrm>
        <a:prstGeom prst="rect">
          <a:avLst/>
        </a:prstGeom>
      </xdr:spPr>
    </xdr:pic>
    <xdr:clientData/>
  </xdr:twoCellAnchor>
  <xdr:twoCellAnchor editAs="oneCell">
    <xdr:from>
      <xdr:col>19</xdr:col>
      <xdr:colOff>373150</xdr:colOff>
      <xdr:row>20</xdr:row>
      <xdr:rowOff>126999</xdr:rowOff>
    </xdr:from>
    <xdr:to>
      <xdr:col>20</xdr:col>
      <xdr:colOff>590674</xdr:colOff>
      <xdr:row>29</xdr:row>
      <xdr:rowOff>87668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xmlns="" id="{AE16680E-0597-4524-98B4-BC6DEB22D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800000">
          <a:off x="9517150" y="3549072"/>
          <a:ext cx="827124" cy="1634568"/>
        </a:xfrm>
        <a:prstGeom prst="rect">
          <a:avLst/>
        </a:prstGeom>
      </xdr:spPr>
    </xdr:pic>
    <xdr:clientData/>
  </xdr:twoCellAnchor>
  <xdr:twoCellAnchor editAs="oneCell">
    <xdr:from>
      <xdr:col>18</xdr:col>
      <xdr:colOff>180219</xdr:colOff>
      <xdr:row>20</xdr:row>
      <xdr:rowOff>143823</xdr:rowOff>
    </xdr:from>
    <xdr:to>
      <xdr:col>20</xdr:col>
      <xdr:colOff>418176</xdr:colOff>
      <xdr:row>22</xdr:row>
      <xdr:rowOff>54428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xmlns="" id="{408831F1-6EFF-45D3-89B2-F246FD693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14619" y="3659909"/>
          <a:ext cx="1457157" cy="280719"/>
        </a:xfrm>
        <a:prstGeom prst="rect">
          <a:avLst/>
        </a:prstGeom>
      </xdr:spPr>
    </xdr:pic>
    <xdr:clientData/>
  </xdr:twoCellAnchor>
  <xdr:twoCellAnchor>
    <xdr:from>
      <xdr:col>19</xdr:col>
      <xdr:colOff>480646</xdr:colOff>
      <xdr:row>19</xdr:row>
      <xdr:rowOff>184220</xdr:rowOff>
    </xdr:from>
    <xdr:to>
      <xdr:col>21</xdr:col>
      <xdr:colOff>105508</xdr:colOff>
      <xdr:row>21</xdr:row>
      <xdr:rowOff>61127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xmlns="" id="{43EC0650-664E-4974-8EB3-3CA44DB7C675}"/>
            </a:ext>
          </a:extLst>
        </xdr:cNvPr>
        <xdr:cNvSpPr/>
      </xdr:nvSpPr>
      <xdr:spPr>
        <a:xfrm>
          <a:off x="9624646" y="3515249"/>
          <a:ext cx="844062" cy="24702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272143</xdr:colOff>
      <xdr:row>15</xdr:row>
      <xdr:rowOff>119743</xdr:rowOff>
    </xdr:from>
    <xdr:to>
      <xdr:col>21</xdr:col>
      <xdr:colOff>10886</xdr:colOff>
      <xdr:row>18</xdr:row>
      <xdr:rowOff>141515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xmlns="" id="{677C5AE1-0510-43DA-86E9-D297E1DA849D}"/>
            </a:ext>
          </a:extLst>
        </xdr:cNvPr>
        <xdr:cNvSpPr/>
      </xdr:nvSpPr>
      <xdr:spPr>
        <a:xfrm>
          <a:off x="7587343" y="2710543"/>
          <a:ext cx="2786743" cy="576943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16</xdr:col>
      <xdr:colOff>461556</xdr:colOff>
      <xdr:row>20</xdr:row>
      <xdr:rowOff>135192</xdr:rowOff>
    </xdr:from>
    <xdr:ext cx="529046" cy="711474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xmlns="" id="{73509B7E-1F07-4747-B0B1-10771E728DE8}"/>
            </a:ext>
          </a:extLst>
        </xdr:cNvPr>
        <xdr:cNvSpPr txBox="1"/>
      </xdr:nvSpPr>
      <xdr:spPr>
        <a:xfrm>
          <a:off x="10282889" y="3818192"/>
          <a:ext cx="529046" cy="711474"/>
        </a:xfrm>
        <a:prstGeom prst="rect">
          <a:avLst/>
        </a:prstGeom>
        <a:solidFill>
          <a:schemeClr val="bg1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000" b="1">
              <a:solidFill>
                <a:schemeClr val="bg1"/>
              </a:solidFill>
            </a:rPr>
            <a:t>Current </a:t>
          </a:r>
        </a:p>
        <a:p>
          <a:r>
            <a:rPr lang="en-GB" sz="1000" b="1" baseline="0">
              <a:solidFill>
                <a:schemeClr val="bg1"/>
              </a:solidFill>
            </a:rPr>
            <a:t>    2</a:t>
          </a:r>
          <a:r>
            <a:rPr lang="en-GB" sz="1000" b="1">
              <a:solidFill>
                <a:schemeClr val="bg1"/>
              </a:solidFill>
            </a:rPr>
            <a:t>10 €</a:t>
          </a:r>
        </a:p>
        <a:p>
          <a:pPr algn="ctr"/>
          <a:endParaRPr lang="en-GB" sz="1000" b="1">
            <a:solidFill>
              <a:schemeClr val="bg1"/>
            </a:solidFill>
          </a:endParaRPr>
        </a:p>
      </xdr:txBody>
    </xdr:sp>
    <xdr:clientData/>
  </xdr:oneCellAnchor>
  <xdr:twoCellAnchor>
    <xdr:from>
      <xdr:col>16</xdr:col>
      <xdr:colOff>304800</xdr:colOff>
      <xdr:row>17</xdr:row>
      <xdr:rowOff>173182</xdr:rowOff>
    </xdr:from>
    <xdr:to>
      <xdr:col>16</xdr:col>
      <xdr:colOff>315687</xdr:colOff>
      <xdr:row>29</xdr:row>
      <xdr:rowOff>136566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xmlns="" id="{1ED72301-7F1D-45BB-A20E-7E9A395E45CB}"/>
            </a:ext>
          </a:extLst>
        </xdr:cNvPr>
        <xdr:cNvCxnSpPr/>
      </xdr:nvCxnSpPr>
      <xdr:spPr>
        <a:xfrm>
          <a:off x="7620000" y="3054927"/>
          <a:ext cx="10887" cy="2124694"/>
        </a:xfrm>
        <a:prstGeom prst="line">
          <a:avLst/>
        </a:prstGeom>
        <a:ln w="19050">
          <a:solidFill>
            <a:schemeClr val="bg1">
              <a:lumMod val="65000"/>
            </a:schemeClr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98367</xdr:colOff>
      <xdr:row>20</xdr:row>
      <xdr:rowOff>69273</xdr:rowOff>
    </xdr:from>
    <xdr:ext cx="714103" cy="470478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xmlns="" id="{695A5360-1EFB-48C6-A064-60BA9218939B}"/>
            </a:ext>
          </a:extLst>
        </xdr:cNvPr>
        <xdr:cNvSpPr txBox="1"/>
      </xdr:nvSpPr>
      <xdr:spPr>
        <a:xfrm>
          <a:off x="11147367" y="3752273"/>
          <a:ext cx="714103" cy="470478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en-GB" sz="1000" b="1">
              <a:solidFill>
                <a:srgbClr val="0070C0"/>
              </a:solidFill>
            </a:rPr>
            <a:t>basic </a:t>
          </a:r>
        </a:p>
        <a:p>
          <a:pPr algn="ctr"/>
          <a:r>
            <a:rPr lang="en-GB" sz="1000" b="1">
              <a:solidFill>
                <a:srgbClr val="0070C0"/>
              </a:solidFill>
            </a:rPr>
            <a:t>insulation</a:t>
          </a:r>
        </a:p>
      </xdr:txBody>
    </xdr:sp>
    <xdr:clientData/>
  </xdr:oneCellAnchor>
  <xdr:twoCellAnchor editAs="oneCell">
    <xdr:from>
      <xdr:col>15</xdr:col>
      <xdr:colOff>484908</xdr:colOff>
      <xdr:row>18</xdr:row>
      <xdr:rowOff>110836</xdr:rowOff>
    </xdr:from>
    <xdr:to>
      <xdr:col>16</xdr:col>
      <xdr:colOff>407826</xdr:colOff>
      <xdr:row>19</xdr:row>
      <xdr:rowOff>127030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xmlns="" id="{3721F4E0-1379-4F16-898A-336877025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90508" y="3172691"/>
          <a:ext cx="532518" cy="196302"/>
        </a:xfrm>
        <a:prstGeom prst="rect">
          <a:avLst/>
        </a:prstGeom>
      </xdr:spPr>
    </xdr:pic>
    <xdr:clientData/>
  </xdr:twoCellAnchor>
  <xdr:oneCellAnchor>
    <xdr:from>
      <xdr:col>19</xdr:col>
      <xdr:colOff>410094</xdr:colOff>
      <xdr:row>20</xdr:row>
      <xdr:rowOff>76200</xdr:rowOff>
    </xdr:from>
    <xdr:ext cx="714103" cy="537633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xmlns="" id="{D7A20523-E0A8-485C-A165-9722F6EBD1FB}"/>
            </a:ext>
          </a:extLst>
        </xdr:cNvPr>
        <xdr:cNvSpPr txBox="1"/>
      </xdr:nvSpPr>
      <xdr:spPr>
        <a:xfrm>
          <a:off x="12072927" y="3759200"/>
          <a:ext cx="714103" cy="537633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en-GB" sz="1000" b="1">
              <a:solidFill>
                <a:srgbClr val="92D050"/>
              </a:solidFill>
            </a:rPr>
            <a:t>good </a:t>
          </a:r>
        </a:p>
        <a:p>
          <a:pPr algn="ctr"/>
          <a:r>
            <a:rPr lang="en-GB" sz="1000" b="1">
              <a:solidFill>
                <a:srgbClr val="92D050"/>
              </a:solidFill>
            </a:rPr>
            <a:t>insulation</a:t>
          </a:r>
          <a:endParaRPr lang="en-GB" sz="1000" b="1">
            <a:solidFill>
              <a:schemeClr val="bg1">
                <a:lumMod val="50000"/>
              </a:schemeClr>
            </a:solidFill>
          </a:endParaRPr>
        </a:p>
        <a:p>
          <a:pPr algn="ctr"/>
          <a:endParaRPr lang="en-GB" sz="900" b="1">
            <a:solidFill>
              <a:srgbClr val="92D050"/>
            </a:solidFill>
          </a:endParaRPr>
        </a:p>
        <a:p>
          <a:pPr algn="ctr"/>
          <a:endParaRPr lang="en-GB" sz="900" b="1">
            <a:solidFill>
              <a:srgbClr val="92D050"/>
            </a:solidFill>
          </a:endParaRPr>
        </a:p>
      </xdr:txBody>
    </xdr:sp>
    <xdr:clientData/>
  </xdr:oneCellAnchor>
  <xdr:twoCellAnchor>
    <xdr:from>
      <xdr:col>15</xdr:col>
      <xdr:colOff>20782</xdr:colOff>
      <xdr:row>21</xdr:row>
      <xdr:rowOff>34637</xdr:rowOff>
    </xdr:from>
    <xdr:to>
      <xdr:col>15</xdr:col>
      <xdr:colOff>574964</xdr:colOff>
      <xdr:row>29</xdr:row>
      <xdr:rowOff>110837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xmlns="" id="{FDC88F40-700A-48CC-BE41-DE5F4D00F7E5}"/>
            </a:ext>
          </a:extLst>
        </xdr:cNvPr>
        <xdr:cNvSpPr/>
      </xdr:nvSpPr>
      <xdr:spPr>
        <a:xfrm>
          <a:off x="6726382" y="3636819"/>
          <a:ext cx="554182" cy="1517073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200892</xdr:colOff>
      <xdr:row>26</xdr:row>
      <xdr:rowOff>41565</xdr:rowOff>
    </xdr:from>
    <xdr:to>
      <xdr:col>16</xdr:col>
      <xdr:colOff>138547</xdr:colOff>
      <xdr:row>27</xdr:row>
      <xdr:rowOff>110838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xmlns="" id="{B8AA2BD4-34FA-4BE5-BA4F-EA404302D7EB}"/>
            </a:ext>
          </a:extLst>
        </xdr:cNvPr>
        <xdr:cNvSpPr/>
      </xdr:nvSpPr>
      <xdr:spPr>
        <a:xfrm>
          <a:off x="6906492" y="4544292"/>
          <a:ext cx="547255" cy="249382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15</xdr:col>
      <xdr:colOff>270560</xdr:colOff>
      <xdr:row>25</xdr:row>
      <xdr:rowOff>144485</xdr:rowOff>
    </xdr:from>
    <xdr:ext cx="498368" cy="45720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552DB389-0067-412D-9C59-3D3388506FEC}"/>
            </a:ext>
          </a:extLst>
        </xdr:cNvPr>
        <xdr:cNvSpPr txBox="1"/>
      </xdr:nvSpPr>
      <xdr:spPr>
        <a:xfrm>
          <a:off x="6976160" y="4467103"/>
          <a:ext cx="498368" cy="4572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GB" sz="1000" b="1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ctr"/>
          <a:r>
            <a:rPr lang="en-GB" sz="1000" b="1">
              <a:solidFill>
                <a:schemeClr val="bg1">
                  <a:lumMod val="50000"/>
                </a:schemeClr>
              </a:solidFill>
            </a:rPr>
            <a:t>Savings </a:t>
          </a:r>
        </a:p>
      </xdr:txBody>
    </xdr:sp>
    <xdr:clientData/>
  </xdr:oneCellAnchor>
  <xdr:oneCellAnchor>
    <xdr:from>
      <xdr:col>14</xdr:col>
      <xdr:colOff>559526</xdr:colOff>
      <xdr:row>21</xdr:row>
      <xdr:rowOff>75211</xdr:rowOff>
    </xdr:from>
    <xdr:ext cx="714103" cy="472044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xmlns="" id="{6C714DBB-B1AE-4C2D-BB40-AB7B2BAC4D87}"/>
            </a:ext>
          </a:extLst>
        </xdr:cNvPr>
        <xdr:cNvSpPr txBox="1"/>
      </xdr:nvSpPr>
      <xdr:spPr>
        <a:xfrm>
          <a:off x="9093926" y="3961411"/>
          <a:ext cx="714103" cy="472044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en-GB" sz="900" b="1">
              <a:solidFill>
                <a:schemeClr val="bg1">
                  <a:lumMod val="50000"/>
                </a:schemeClr>
              </a:solidFill>
            </a:rPr>
            <a:t>Annual </a:t>
          </a:r>
        </a:p>
        <a:p>
          <a:pPr algn="ctr"/>
          <a:r>
            <a:rPr lang="en-GB" sz="900" b="1">
              <a:solidFill>
                <a:schemeClr val="bg1">
                  <a:lumMod val="50000"/>
                </a:schemeClr>
              </a:solidFill>
            </a:rPr>
            <a:t>Consumption</a:t>
          </a:r>
        </a:p>
      </xdr:txBody>
    </xdr:sp>
    <xdr:clientData/>
  </xdr:oneCellAnchor>
  <xdr:twoCellAnchor>
    <xdr:from>
      <xdr:col>15</xdr:col>
      <xdr:colOff>277091</xdr:colOff>
      <xdr:row>17</xdr:row>
      <xdr:rowOff>180108</xdr:rowOff>
    </xdr:from>
    <xdr:to>
      <xdr:col>16</xdr:col>
      <xdr:colOff>450273</xdr:colOff>
      <xdr:row>19</xdr:row>
      <xdr:rowOff>145472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xmlns="" id="{5DE26516-5616-44AD-BC7C-A43423B776E8}"/>
            </a:ext>
          </a:extLst>
        </xdr:cNvPr>
        <xdr:cNvSpPr/>
      </xdr:nvSpPr>
      <xdr:spPr>
        <a:xfrm>
          <a:off x="6982691" y="3061853"/>
          <a:ext cx="782782" cy="325583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71252</xdr:colOff>
      <xdr:row>17</xdr:row>
      <xdr:rowOff>105889</xdr:rowOff>
    </xdr:from>
    <xdr:to>
      <xdr:col>20</xdr:col>
      <xdr:colOff>484909</xdr:colOff>
      <xdr:row>20</xdr:row>
      <xdr:rowOff>127661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xmlns="" id="{1B36ECB4-73EE-4761-934A-715556418E34}"/>
            </a:ext>
          </a:extLst>
        </xdr:cNvPr>
        <xdr:cNvSpPr/>
      </xdr:nvSpPr>
      <xdr:spPr>
        <a:xfrm>
          <a:off x="8605652" y="2987634"/>
          <a:ext cx="1632857" cy="5621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14</xdr:col>
      <xdr:colOff>532108</xdr:colOff>
      <xdr:row>30</xdr:row>
      <xdr:rowOff>126286</xdr:rowOff>
    </xdr:from>
    <xdr:to>
      <xdr:col>21</xdr:col>
      <xdr:colOff>373401</xdr:colOff>
      <xdr:row>38</xdr:row>
      <xdr:rowOff>89670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xmlns="" id="{411C2168-A331-440C-94EB-033A9D822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125775" y="5661369"/>
          <a:ext cx="4138126" cy="1402718"/>
        </a:xfrm>
        <a:prstGeom prst="rect">
          <a:avLst/>
        </a:prstGeom>
      </xdr:spPr>
    </xdr:pic>
    <xdr:clientData/>
  </xdr:twoCellAnchor>
  <xdr:twoCellAnchor>
    <xdr:from>
      <xdr:col>14</xdr:col>
      <xdr:colOff>560120</xdr:colOff>
      <xdr:row>29</xdr:row>
      <xdr:rowOff>135577</xdr:rowOff>
    </xdr:from>
    <xdr:to>
      <xdr:col>20</xdr:col>
      <xdr:colOff>530431</xdr:colOff>
      <xdr:row>31</xdr:row>
      <xdr:rowOff>10886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xmlns="" id="{5CAB4317-51C1-49A6-83EE-F17CAE583EE7}"/>
            </a:ext>
          </a:extLst>
        </xdr:cNvPr>
        <xdr:cNvSpPr/>
      </xdr:nvSpPr>
      <xdr:spPr>
        <a:xfrm>
          <a:off x="9094520" y="5502234"/>
          <a:ext cx="3627911" cy="245423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17</xdr:col>
      <xdr:colOff>581891</xdr:colOff>
      <xdr:row>20</xdr:row>
      <xdr:rowOff>13854</xdr:rowOff>
    </xdr:from>
    <xdr:to>
      <xdr:col>17</xdr:col>
      <xdr:colOff>595746</xdr:colOff>
      <xdr:row>29</xdr:row>
      <xdr:rowOff>90054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xmlns="" id="{961155EE-DAF8-4676-87AC-D1E6145E886F}"/>
            </a:ext>
          </a:extLst>
        </xdr:cNvPr>
        <xdr:cNvCxnSpPr/>
      </xdr:nvCxnSpPr>
      <xdr:spPr>
        <a:xfrm>
          <a:off x="8506691" y="3435927"/>
          <a:ext cx="13855" cy="1697182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405822</xdr:colOff>
      <xdr:row>30</xdr:row>
      <xdr:rowOff>175931</xdr:rowOff>
    </xdr:from>
    <xdr:to>
      <xdr:col>18</xdr:col>
      <xdr:colOff>149513</xdr:colOff>
      <xdr:row>33</xdr:row>
      <xdr:rowOff>35598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xmlns="" id="{96B42BA2-BFD5-4A97-9B41-DEEDA6887AAE}"/>
            </a:ext>
          </a:extLst>
        </xdr:cNvPr>
        <xdr:cNvSpPr/>
      </xdr:nvSpPr>
      <xdr:spPr>
        <a:xfrm>
          <a:off x="10840989" y="5711014"/>
          <a:ext cx="357524" cy="399417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118533</xdr:colOff>
      <xdr:row>33</xdr:row>
      <xdr:rowOff>47832</xdr:rowOff>
    </xdr:from>
    <xdr:to>
      <xdr:col>16</xdr:col>
      <xdr:colOff>104678</xdr:colOff>
      <xdr:row>35</xdr:row>
      <xdr:rowOff>38925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xmlns="" id="{CC2B3D52-4F57-4928-8F69-83FE55BF3EF7}"/>
            </a:ext>
          </a:extLst>
        </xdr:cNvPr>
        <xdr:cNvSpPr/>
      </xdr:nvSpPr>
      <xdr:spPr>
        <a:xfrm>
          <a:off x="9262533" y="6154718"/>
          <a:ext cx="595745" cy="361207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311150</xdr:colOff>
      <xdr:row>13</xdr:row>
      <xdr:rowOff>38100</xdr:rowOff>
    </xdr:from>
    <xdr:to>
      <xdr:col>21</xdr:col>
      <xdr:colOff>141817</xdr:colOff>
      <xdr:row>18</xdr:row>
      <xdr:rowOff>21167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xmlns="" id="{C0C15D5C-DC79-4C85-A363-832B2CC25763}"/>
            </a:ext>
          </a:extLst>
        </xdr:cNvPr>
        <xdr:cNvSpPr/>
      </xdr:nvSpPr>
      <xdr:spPr>
        <a:xfrm>
          <a:off x="9518650" y="2461683"/>
          <a:ext cx="3513667" cy="882651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15</xdr:col>
      <xdr:colOff>143934</xdr:colOff>
      <xdr:row>4</xdr:row>
      <xdr:rowOff>16932</xdr:rowOff>
    </xdr:from>
    <xdr:to>
      <xdr:col>17</xdr:col>
      <xdr:colOff>330200</xdr:colOff>
      <xdr:row>17</xdr:row>
      <xdr:rowOff>17894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xmlns="" id="{C032D415-81BA-440D-9463-0D92DBBBC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849534" y="575732"/>
          <a:ext cx="1405466" cy="2422429"/>
        </a:xfrm>
        <a:prstGeom prst="rect">
          <a:avLst/>
        </a:prstGeom>
      </xdr:spPr>
    </xdr:pic>
    <xdr:clientData/>
  </xdr:twoCellAnchor>
  <xdr:twoCellAnchor>
    <xdr:from>
      <xdr:col>15</xdr:col>
      <xdr:colOff>152400</xdr:colOff>
      <xdr:row>16</xdr:row>
      <xdr:rowOff>84667</xdr:rowOff>
    </xdr:from>
    <xdr:to>
      <xdr:col>20</xdr:col>
      <xdr:colOff>524933</xdr:colOff>
      <xdr:row>20</xdr:row>
      <xdr:rowOff>0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xmlns="" id="{01490D36-8D75-489A-B9D1-0D7FCF73E2D7}"/>
            </a:ext>
          </a:extLst>
        </xdr:cNvPr>
        <xdr:cNvSpPr/>
      </xdr:nvSpPr>
      <xdr:spPr>
        <a:xfrm>
          <a:off x="9359900" y="3048000"/>
          <a:ext cx="3441700" cy="6350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800" b="1">
              <a:solidFill>
                <a:schemeClr val="bg1">
                  <a:lumMod val="75000"/>
                </a:schemeClr>
              </a:solidFill>
              <a:latin typeface="+mn-lt"/>
            </a:rPr>
            <a:t>Annual</a:t>
          </a:r>
          <a:r>
            <a:rPr lang="en-GB" sz="800" b="1" baseline="0">
              <a:solidFill>
                <a:schemeClr val="bg1">
                  <a:lumMod val="75000"/>
                </a:schemeClr>
              </a:solidFill>
              <a:latin typeface="+mn-lt"/>
            </a:rPr>
            <a:t> Saving Potential </a:t>
          </a:r>
        </a:p>
        <a:p>
          <a:pPr algn="ctr"/>
          <a:r>
            <a:rPr lang="en-GB" sz="1400" b="1" baseline="0">
              <a:solidFill>
                <a:sysClr val="windowText" lastClr="000000"/>
              </a:solidFill>
              <a:latin typeface="+mn-lt"/>
            </a:rPr>
            <a:t>From 170 € to 200 € </a:t>
          </a:r>
          <a:endParaRPr lang="en-GB" sz="1000" b="1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>
    <xdr:from>
      <xdr:col>15</xdr:col>
      <xdr:colOff>203200</xdr:colOff>
      <xdr:row>18</xdr:row>
      <xdr:rowOff>169333</xdr:rowOff>
    </xdr:from>
    <xdr:to>
      <xdr:col>21</xdr:col>
      <xdr:colOff>10583</xdr:colOff>
      <xdr:row>18</xdr:row>
      <xdr:rowOff>173568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xmlns="" id="{CEB85ECF-C9C2-469C-A02F-86476800139F}"/>
            </a:ext>
          </a:extLst>
        </xdr:cNvPr>
        <xdr:cNvCxnSpPr/>
      </xdr:nvCxnSpPr>
      <xdr:spPr>
        <a:xfrm flipV="1">
          <a:off x="9410700" y="3492500"/>
          <a:ext cx="3490383" cy="4235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416076</xdr:colOff>
      <xdr:row>2</xdr:row>
      <xdr:rowOff>47173</xdr:rowOff>
    </xdr:from>
    <xdr:to>
      <xdr:col>7</xdr:col>
      <xdr:colOff>405190</xdr:colOff>
      <xdr:row>41</xdr:row>
      <xdr:rowOff>96950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xmlns="" id="{C5B8D057-40D1-4594-8DC0-87ECAFCA0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16076" y="504373"/>
          <a:ext cx="4256314" cy="7319923"/>
        </a:xfrm>
        <a:prstGeom prst="rect">
          <a:avLst/>
        </a:prstGeom>
        <a:ln w="31750">
          <a:solidFill>
            <a:schemeClr val="accent1">
              <a:lumMod val="50000"/>
            </a:schemeClr>
          </a:solidFill>
        </a:ln>
      </xdr:spPr>
    </xdr:pic>
    <xdr:clientData/>
  </xdr:twoCellAnchor>
  <xdr:twoCellAnchor>
    <xdr:from>
      <xdr:col>26</xdr:col>
      <xdr:colOff>607181</xdr:colOff>
      <xdr:row>3</xdr:row>
      <xdr:rowOff>26611</xdr:rowOff>
    </xdr:from>
    <xdr:to>
      <xdr:col>33</xdr:col>
      <xdr:colOff>395514</xdr:colOff>
      <xdr:row>21</xdr:row>
      <xdr:rowOff>68943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xmlns="" id="{31F96E21-2EC1-4367-8525-C556A51DD95F}"/>
            </a:ext>
          </a:extLst>
        </xdr:cNvPr>
        <xdr:cNvSpPr/>
      </xdr:nvSpPr>
      <xdr:spPr>
        <a:xfrm>
          <a:off x="16456781" y="581782"/>
          <a:ext cx="4055533" cy="3373361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7</xdr:col>
      <xdr:colOff>555170</xdr:colOff>
      <xdr:row>2</xdr:row>
      <xdr:rowOff>10886</xdr:rowOff>
    </xdr:from>
    <xdr:to>
      <xdr:col>14</xdr:col>
      <xdr:colOff>424123</xdr:colOff>
      <xdr:row>40</xdr:row>
      <xdr:rowOff>170543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xmlns="" id="{91233123-936C-4596-B260-332830500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822370" y="468086"/>
          <a:ext cx="4136153" cy="7249886"/>
        </a:xfrm>
        <a:prstGeom prst="rect">
          <a:avLst/>
        </a:prstGeom>
        <a:ln w="31750">
          <a:solidFill>
            <a:schemeClr val="accent1">
              <a:lumMod val="50000"/>
            </a:schemeClr>
          </a:solidFill>
        </a:ln>
      </xdr:spPr>
    </xdr:pic>
    <xdr:clientData/>
  </xdr:twoCellAnchor>
  <xdr:oneCellAnchor>
    <xdr:from>
      <xdr:col>15</xdr:col>
      <xdr:colOff>80553</xdr:colOff>
      <xdr:row>26</xdr:row>
      <xdr:rowOff>52450</xdr:rowOff>
    </xdr:from>
    <xdr:ext cx="714103" cy="472044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xmlns="" id="{72D8B9AE-128E-4138-9879-8689C93C27BF}"/>
            </a:ext>
          </a:extLst>
        </xdr:cNvPr>
        <xdr:cNvSpPr txBox="1"/>
      </xdr:nvSpPr>
      <xdr:spPr>
        <a:xfrm>
          <a:off x="9224553" y="4863936"/>
          <a:ext cx="714103" cy="472044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en-GB" sz="900" b="1">
              <a:solidFill>
                <a:schemeClr val="bg1">
                  <a:lumMod val="50000"/>
                </a:schemeClr>
              </a:solidFill>
            </a:rPr>
            <a:t>Annual </a:t>
          </a:r>
        </a:p>
        <a:p>
          <a:pPr algn="ctr"/>
          <a:r>
            <a:rPr lang="en-GB" sz="900" b="1">
              <a:solidFill>
                <a:schemeClr val="bg1">
                  <a:lumMod val="50000"/>
                </a:schemeClr>
              </a:solidFill>
            </a:rPr>
            <a:t>Saving</a:t>
          </a:r>
        </a:p>
      </xdr:txBody>
    </xdr:sp>
    <xdr:clientData/>
  </xdr:oneCellAnchor>
  <xdr:twoCellAnchor>
    <xdr:from>
      <xdr:col>1</xdr:col>
      <xdr:colOff>0</xdr:colOff>
      <xdr:row>16</xdr:row>
      <xdr:rowOff>97971</xdr:rowOff>
    </xdr:from>
    <xdr:to>
      <xdr:col>1</xdr:col>
      <xdr:colOff>217714</xdr:colOff>
      <xdr:row>17</xdr:row>
      <xdr:rowOff>43543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xmlns="" id="{715FFCC0-A9ED-4AC0-AF1C-D3D547BD092B}"/>
            </a:ext>
          </a:extLst>
        </xdr:cNvPr>
        <xdr:cNvSpPr/>
      </xdr:nvSpPr>
      <xdr:spPr>
        <a:xfrm>
          <a:off x="609600" y="3145971"/>
          <a:ext cx="217714" cy="130629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116840</xdr:colOff>
      <xdr:row>18</xdr:row>
      <xdr:rowOff>57330</xdr:rowOff>
    </xdr:from>
    <xdr:to>
      <xdr:col>2</xdr:col>
      <xdr:colOff>264160</xdr:colOff>
      <xdr:row>19</xdr:row>
      <xdr:rowOff>20319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xmlns="" id="{28540322-F605-4009-8B16-6B3378B9B404}"/>
            </a:ext>
          </a:extLst>
        </xdr:cNvPr>
        <xdr:cNvSpPr/>
      </xdr:nvSpPr>
      <xdr:spPr>
        <a:xfrm>
          <a:off x="726440" y="3435530"/>
          <a:ext cx="756920" cy="145869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157480</xdr:colOff>
      <xdr:row>18</xdr:row>
      <xdr:rowOff>62410</xdr:rowOff>
    </xdr:from>
    <xdr:to>
      <xdr:col>11</xdr:col>
      <xdr:colOff>187960</xdr:colOff>
      <xdr:row>19</xdr:row>
      <xdr:rowOff>35560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xmlns="" id="{547FB62A-7F2B-46C1-9BEE-C6C55B4C5B2B}"/>
            </a:ext>
          </a:extLst>
        </xdr:cNvPr>
        <xdr:cNvSpPr/>
      </xdr:nvSpPr>
      <xdr:spPr>
        <a:xfrm>
          <a:off x="5034280" y="3440610"/>
          <a:ext cx="1859280" cy="15603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900">
              <a:solidFill>
                <a:sysClr val="windowText" lastClr="000000"/>
              </a:solidFill>
            </a:rPr>
            <a:t>Click on Next</a:t>
          </a:r>
          <a:r>
            <a:rPr lang="en-GB" sz="900" baseline="0">
              <a:solidFill>
                <a:sysClr val="windowText" lastClr="000000"/>
              </a:solidFill>
            </a:rPr>
            <a:t> to get the result</a:t>
          </a:r>
          <a:r>
            <a:rPr lang="en-GB" sz="900">
              <a:solidFill>
                <a:sysClr val="windowText" lastClr="000000"/>
              </a:solidFill>
            </a:rPr>
            <a:t> </a:t>
          </a:r>
        </a:p>
      </xdr:txBody>
    </xdr:sp>
    <xdr:clientData/>
  </xdr:twoCellAnchor>
  <xdr:twoCellAnchor>
    <xdr:from>
      <xdr:col>20</xdr:col>
      <xdr:colOff>459317</xdr:colOff>
      <xdr:row>21</xdr:row>
      <xdr:rowOff>4233</xdr:rowOff>
    </xdr:from>
    <xdr:to>
      <xdr:col>21</xdr:col>
      <xdr:colOff>501650</xdr:colOff>
      <xdr:row>21</xdr:row>
      <xdr:rowOff>78316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xmlns="" id="{9AB87C30-6F66-409F-957B-7F8C1C6FF1E5}"/>
            </a:ext>
          </a:extLst>
        </xdr:cNvPr>
        <xdr:cNvCxnSpPr/>
      </xdr:nvCxnSpPr>
      <xdr:spPr>
        <a:xfrm flipH="1">
          <a:off x="12735984" y="3867150"/>
          <a:ext cx="656166" cy="740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237067</xdr:colOff>
      <xdr:row>29</xdr:row>
      <xdr:rowOff>1</xdr:rowOff>
    </xdr:from>
    <xdr:ext cx="399148" cy="247648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xmlns="" id="{436B54F5-DA02-4BC4-AB05-88FB6EF59D02}"/>
            </a:ext>
          </a:extLst>
        </xdr:cNvPr>
        <xdr:cNvSpPr txBox="1"/>
      </xdr:nvSpPr>
      <xdr:spPr>
        <a:xfrm>
          <a:off x="11286067" y="5302251"/>
          <a:ext cx="399148" cy="247648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100" b="1">
              <a:solidFill>
                <a:srgbClr val="0070C0"/>
              </a:solidFill>
            </a:rPr>
            <a:t>170€</a:t>
          </a:r>
        </a:p>
      </xdr:txBody>
    </xdr:sp>
    <xdr:clientData/>
  </xdr:oneCellAnchor>
  <xdr:oneCellAnchor>
    <xdr:from>
      <xdr:col>19</xdr:col>
      <xdr:colOff>558800</xdr:colOff>
      <xdr:row>28</xdr:row>
      <xdr:rowOff>177798</xdr:rowOff>
    </xdr:from>
    <xdr:ext cx="399148" cy="243417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xmlns="" id="{1C401562-7932-44A0-9FB6-6CA09EF92721}"/>
            </a:ext>
          </a:extLst>
        </xdr:cNvPr>
        <xdr:cNvSpPr txBox="1"/>
      </xdr:nvSpPr>
      <xdr:spPr>
        <a:xfrm>
          <a:off x="12221633" y="5300131"/>
          <a:ext cx="399148" cy="24341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100" b="1">
              <a:solidFill>
                <a:srgbClr val="92D050"/>
              </a:solidFill>
            </a:rPr>
            <a:t>200€</a:t>
          </a:r>
        </a:p>
      </xdr:txBody>
    </xdr:sp>
    <xdr:clientData/>
  </xdr:oneCellAnchor>
  <xdr:twoCellAnchor>
    <xdr:from>
      <xdr:col>15</xdr:col>
      <xdr:colOff>158749</xdr:colOff>
      <xdr:row>16</xdr:row>
      <xdr:rowOff>95250</xdr:rowOff>
    </xdr:from>
    <xdr:to>
      <xdr:col>21</xdr:col>
      <xdr:colOff>74082</xdr:colOff>
      <xdr:row>19</xdr:row>
      <xdr:rowOff>63500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xmlns="" id="{13DD07C9-1861-4D51-9D6A-073A085EA038}"/>
            </a:ext>
          </a:extLst>
        </xdr:cNvPr>
        <xdr:cNvSpPr/>
      </xdr:nvSpPr>
      <xdr:spPr>
        <a:xfrm>
          <a:off x="9366249" y="3058583"/>
          <a:ext cx="3598333" cy="508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16</xdr:col>
      <xdr:colOff>74084</xdr:colOff>
      <xdr:row>26</xdr:row>
      <xdr:rowOff>95250</xdr:rowOff>
    </xdr:from>
    <xdr:to>
      <xdr:col>16</xdr:col>
      <xdr:colOff>359798</xdr:colOff>
      <xdr:row>27</xdr:row>
      <xdr:rowOff>115334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xmlns="" id="{13528B73-D6F1-418B-8422-709C2FC1C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895417" y="4857750"/>
          <a:ext cx="285714" cy="200000"/>
        </a:xfrm>
        <a:prstGeom prst="rect">
          <a:avLst/>
        </a:prstGeom>
      </xdr:spPr>
    </xdr:pic>
    <xdr:clientData/>
  </xdr:twoCellAnchor>
  <xdr:oneCellAnchor>
    <xdr:from>
      <xdr:col>19</xdr:col>
      <xdr:colOff>563034</xdr:colOff>
      <xdr:row>23</xdr:row>
      <xdr:rowOff>33865</xdr:rowOff>
    </xdr:from>
    <xdr:ext cx="399148" cy="243417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xmlns="" id="{49631AAC-0785-4959-A233-5CD8EB8D1CD2}"/>
            </a:ext>
          </a:extLst>
        </xdr:cNvPr>
        <xdr:cNvSpPr txBox="1"/>
      </xdr:nvSpPr>
      <xdr:spPr>
        <a:xfrm>
          <a:off x="12225867" y="4256615"/>
          <a:ext cx="399148" cy="24341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100" b="1">
              <a:solidFill>
                <a:schemeClr val="bg1">
                  <a:lumMod val="50000"/>
                </a:schemeClr>
              </a:solidFill>
            </a:rPr>
            <a:t>10€</a:t>
          </a:r>
        </a:p>
      </xdr:txBody>
    </xdr:sp>
    <xdr:clientData/>
  </xdr:oneCellAnchor>
  <xdr:oneCellAnchor>
    <xdr:from>
      <xdr:col>18</xdr:col>
      <xdr:colOff>239184</xdr:colOff>
      <xdr:row>22</xdr:row>
      <xdr:rowOff>91015</xdr:rowOff>
    </xdr:from>
    <xdr:ext cx="399148" cy="243417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xmlns="" id="{070998D7-F48B-483C-846D-AE6599D9E98B}"/>
            </a:ext>
          </a:extLst>
        </xdr:cNvPr>
        <xdr:cNvSpPr txBox="1"/>
      </xdr:nvSpPr>
      <xdr:spPr>
        <a:xfrm>
          <a:off x="11288184" y="4133848"/>
          <a:ext cx="399148" cy="24341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100" b="1">
              <a:solidFill>
                <a:schemeClr val="bg1">
                  <a:lumMod val="50000"/>
                </a:schemeClr>
              </a:solidFill>
            </a:rPr>
            <a:t>40€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458728</xdr:colOff>
      <xdr:row>30</xdr:row>
      <xdr:rowOff>23453</xdr:rowOff>
    </xdr:from>
    <xdr:to>
      <xdr:col>27</xdr:col>
      <xdr:colOff>198110</xdr:colOff>
      <xdr:row>33</xdr:row>
      <xdr:rowOff>121144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xmlns="" id="{433280B8-DB4F-4B26-A6FE-EB993805A948}"/>
            </a:ext>
          </a:extLst>
        </xdr:cNvPr>
        <xdr:cNvSpPr txBox="1"/>
      </xdr:nvSpPr>
      <xdr:spPr>
        <a:xfrm>
          <a:off x="13016488" y="5342213"/>
          <a:ext cx="1568182" cy="64633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b="1">
              <a:solidFill>
                <a:schemeClr val="bg1"/>
              </a:solidFill>
            </a:rPr>
            <a:t>DAMAGE INSULATION </a:t>
          </a:r>
        </a:p>
      </xdr:txBody>
    </xdr:sp>
    <xdr:clientData/>
  </xdr:twoCellAnchor>
  <xdr:twoCellAnchor editAs="oneCell">
    <xdr:from>
      <xdr:col>1</xdr:col>
      <xdr:colOff>259080</xdr:colOff>
      <xdr:row>2</xdr:row>
      <xdr:rowOff>38100</xdr:rowOff>
    </xdr:from>
    <xdr:to>
      <xdr:col>18</xdr:col>
      <xdr:colOff>114300</xdr:colOff>
      <xdr:row>21</xdr:row>
      <xdr:rowOff>10503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18FA8B1B-865D-417B-8458-47CE005456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434340"/>
          <a:ext cx="8839200" cy="3249003"/>
        </a:xfrm>
        <a:prstGeom prst="rect">
          <a:avLst/>
        </a:prstGeom>
        <a:solidFill>
          <a:schemeClr val="accent1">
            <a:alpha val="2000"/>
          </a:schemeClr>
        </a:solidFill>
      </xdr:spPr>
    </xdr:pic>
    <xdr:clientData/>
  </xdr:twoCellAnchor>
  <xdr:twoCellAnchor>
    <xdr:from>
      <xdr:col>12</xdr:col>
      <xdr:colOff>403860</xdr:colOff>
      <xdr:row>27</xdr:row>
      <xdr:rowOff>38100</xdr:rowOff>
    </xdr:from>
    <xdr:to>
      <xdr:col>20</xdr:col>
      <xdr:colOff>403860</xdr:colOff>
      <xdr:row>27</xdr:row>
      <xdr:rowOff>38100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xmlns="" id="{7C23D7A8-6FDD-430C-8AF4-6D70ADB10145}"/>
            </a:ext>
          </a:extLst>
        </xdr:cNvPr>
        <xdr:cNvCxnSpPr/>
      </xdr:nvCxnSpPr>
      <xdr:spPr>
        <a:xfrm flipH="1">
          <a:off x="6576060" y="4899660"/>
          <a:ext cx="3947160" cy="0"/>
        </a:xfrm>
        <a:prstGeom prst="straightConnector1">
          <a:avLst/>
        </a:prstGeom>
        <a:ln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15</xdr:row>
      <xdr:rowOff>105001</xdr:rowOff>
    </xdr:from>
    <xdr:to>
      <xdr:col>19</xdr:col>
      <xdr:colOff>121920</xdr:colOff>
      <xdr:row>24</xdr:row>
      <xdr:rowOff>68580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2A2BCD56-54F9-460A-BB72-02D5BE7D59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40" y="3153001"/>
          <a:ext cx="9265920" cy="1548539"/>
        </a:xfrm>
        <a:prstGeom prst="rect">
          <a:avLst/>
        </a:prstGeom>
        <a:solidFill>
          <a:schemeClr val="accent1">
            <a:alpha val="2000"/>
          </a:schemeClr>
        </a:solidFill>
      </xdr:spPr>
    </xdr:pic>
    <xdr:clientData/>
  </xdr:twoCellAnchor>
  <xdr:twoCellAnchor>
    <xdr:from>
      <xdr:col>24</xdr:col>
      <xdr:colOff>458728</xdr:colOff>
      <xdr:row>33</xdr:row>
      <xdr:rowOff>23453</xdr:rowOff>
    </xdr:from>
    <xdr:to>
      <xdr:col>27</xdr:col>
      <xdr:colOff>198110</xdr:colOff>
      <xdr:row>36</xdr:row>
      <xdr:rowOff>121144</xdr:rowOff>
    </xdr:to>
    <xdr:sp macro="" textlink="">
      <xdr:nvSpPr>
        <xdr:cNvPr id="2" name="TextBox 22">
          <a:extLst>
            <a:ext uri="{FF2B5EF4-FFF2-40B4-BE49-F238E27FC236}">
              <a16:creationId xmlns:a16="http://schemas.microsoft.com/office/drawing/2014/main" xmlns="" id="{CBB324F2-5075-48F7-87E9-A4765802F958}"/>
            </a:ext>
          </a:extLst>
        </xdr:cNvPr>
        <xdr:cNvSpPr txBox="1"/>
      </xdr:nvSpPr>
      <xdr:spPr>
        <a:xfrm>
          <a:off x="13016488" y="5433653"/>
          <a:ext cx="1141462" cy="64633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b="1">
              <a:solidFill>
                <a:schemeClr val="bg1"/>
              </a:solidFill>
            </a:rPr>
            <a:t>DAMAGE INSULATION </a:t>
          </a:r>
        </a:p>
      </xdr:txBody>
    </xdr:sp>
    <xdr:clientData/>
  </xdr:twoCellAnchor>
  <xdr:twoCellAnchor editAs="oneCell">
    <xdr:from>
      <xdr:col>16</xdr:col>
      <xdr:colOff>373380</xdr:colOff>
      <xdr:row>2</xdr:row>
      <xdr:rowOff>76199</xdr:rowOff>
    </xdr:from>
    <xdr:to>
      <xdr:col>17</xdr:col>
      <xdr:colOff>388620</xdr:colOff>
      <xdr:row>6</xdr:row>
      <xdr:rowOff>79716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5D65B6CF-38B9-4AF3-B764-7A8A490020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/>
        <a:srcRect t="4629"/>
        <a:stretch/>
      </xdr:blipFill>
      <xdr:spPr>
        <a:xfrm>
          <a:off x="8671560" y="472439"/>
          <a:ext cx="624840" cy="696937"/>
        </a:xfrm>
        <a:prstGeom prst="rect">
          <a:avLst/>
        </a:prstGeom>
      </xdr:spPr>
    </xdr:pic>
    <xdr:clientData/>
  </xdr:twoCellAnchor>
  <xdr:twoCellAnchor editAs="oneCell">
    <xdr:from>
      <xdr:col>15</xdr:col>
      <xdr:colOff>236220</xdr:colOff>
      <xdr:row>7</xdr:row>
      <xdr:rowOff>182880</xdr:rowOff>
    </xdr:from>
    <xdr:to>
      <xdr:col>15</xdr:col>
      <xdr:colOff>531281</xdr:colOff>
      <xdr:row>9</xdr:row>
      <xdr:rowOff>54853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7514E167-1DEE-4391-B0A5-55A931F5E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039100" y="1478280"/>
          <a:ext cx="295061" cy="298693"/>
        </a:xfrm>
        <a:prstGeom prst="rect">
          <a:avLst/>
        </a:prstGeom>
      </xdr:spPr>
    </xdr:pic>
    <xdr:clientData/>
  </xdr:twoCellAnchor>
  <xdr:twoCellAnchor editAs="oneCell">
    <xdr:from>
      <xdr:col>15</xdr:col>
      <xdr:colOff>243840</xdr:colOff>
      <xdr:row>9</xdr:row>
      <xdr:rowOff>182880</xdr:rowOff>
    </xdr:from>
    <xdr:to>
      <xdr:col>15</xdr:col>
      <xdr:colOff>538901</xdr:colOff>
      <xdr:row>11</xdr:row>
      <xdr:rowOff>39613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8ED2A04F-7BCC-4EF6-8AE0-345F154A9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046720" y="1905000"/>
          <a:ext cx="295061" cy="298693"/>
        </a:xfrm>
        <a:prstGeom prst="rect">
          <a:avLst/>
        </a:prstGeom>
      </xdr:spPr>
    </xdr:pic>
    <xdr:clientData/>
  </xdr:twoCellAnchor>
  <xdr:twoCellAnchor editAs="oneCell">
    <xdr:from>
      <xdr:col>15</xdr:col>
      <xdr:colOff>236221</xdr:colOff>
      <xdr:row>11</xdr:row>
      <xdr:rowOff>144780</xdr:rowOff>
    </xdr:from>
    <xdr:to>
      <xdr:col>15</xdr:col>
      <xdr:colOff>525781</xdr:colOff>
      <xdr:row>13</xdr:row>
      <xdr:rowOff>1513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40D872D6-5BF8-4329-91A6-4AD0FB24E2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8039101" y="2308860"/>
          <a:ext cx="289560" cy="298693"/>
        </a:xfrm>
        <a:prstGeom prst="rect">
          <a:avLst/>
        </a:prstGeom>
      </xdr:spPr>
    </xdr:pic>
    <xdr:clientData/>
  </xdr:twoCellAnchor>
  <xdr:twoCellAnchor editAs="oneCell">
    <xdr:from>
      <xdr:col>15</xdr:col>
      <xdr:colOff>243841</xdr:colOff>
      <xdr:row>13</xdr:row>
      <xdr:rowOff>160020</xdr:rowOff>
    </xdr:from>
    <xdr:to>
      <xdr:col>15</xdr:col>
      <xdr:colOff>533401</xdr:colOff>
      <xdr:row>15</xdr:row>
      <xdr:rowOff>16753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1AAAD251-C0C1-45C5-819D-E8F13B0AE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8046721" y="2766060"/>
          <a:ext cx="289560" cy="298693"/>
        </a:xfrm>
        <a:prstGeom prst="rect">
          <a:avLst/>
        </a:prstGeom>
      </xdr:spPr>
    </xdr:pic>
    <xdr:clientData/>
  </xdr:twoCellAnchor>
  <xdr:twoCellAnchor editAs="oneCell">
    <xdr:from>
      <xdr:col>10</xdr:col>
      <xdr:colOff>7621</xdr:colOff>
      <xdr:row>7</xdr:row>
      <xdr:rowOff>181554</xdr:rowOff>
    </xdr:from>
    <xdr:to>
      <xdr:col>10</xdr:col>
      <xdr:colOff>327661</xdr:colOff>
      <xdr:row>9</xdr:row>
      <xdr:rowOff>26496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117A161A-3125-41EB-BE44-71AC4469A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5074921" y="1476954"/>
          <a:ext cx="320040" cy="271662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15241</xdr:colOff>
      <xdr:row>9</xdr:row>
      <xdr:rowOff>219654</xdr:rowOff>
    </xdr:from>
    <xdr:to>
      <xdr:col>10</xdr:col>
      <xdr:colOff>335281</xdr:colOff>
      <xdr:row>11</xdr:row>
      <xdr:rowOff>49356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37CA0CC0-7807-48C4-A458-ECE829CD2F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5082541" y="1941774"/>
          <a:ext cx="320040" cy="271662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30481</xdr:colOff>
      <xdr:row>12</xdr:row>
      <xdr:rowOff>6294</xdr:rowOff>
    </xdr:from>
    <xdr:to>
      <xdr:col>10</xdr:col>
      <xdr:colOff>350521</xdr:colOff>
      <xdr:row>13</xdr:row>
      <xdr:rowOff>56976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28443273-386D-4022-88A8-3EFF83949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5097781" y="2391354"/>
          <a:ext cx="320040" cy="271662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38101</xdr:colOff>
      <xdr:row>13</xdr:row>
      <xdr:rowOff>219654</xdr:rowOff>
    </xdr:from>
    <xdr:to>
      <xdr:col>10</xdr:col>
      <xdr:colOff>358141</xdr:colOff>
      <xdr:row>15</xdr:row>
      <xdr:rowOff>49356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B5F5E8D7-25A2-4027-A5A4-962BC2944E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5105401" y="2825694"/>
          <a:ext cx="320040" cy="27166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458728</xdr:colOff>
      <xdr:row>28</xdr:row>
      <xdr:rowOff>23453</xdr:rowOff>
    </xdr:from>
    <xdr:to>
      <xdr:col>25</xdr:col>
      <xdr:colOff>198110</xdr:colOff>
      <xdr:row>31</xdr:row>
      <xdr:rowOff>121144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xmlns="" id="{E0DA0F23-27FE-4EB0-BC78-6882F57C1B26}"/>
            </a:ext>
          </a:extLst>
        </xdr:cNvPr>
        <xdr:cNvSpPr txBox="1"/>
      </xdr:nvSpPr>
      <xdr:spPr>
        <a:xfrm>
          <a:off x="12018268" y="5395553"/>
          <a:ext cx="1568182" cy="64633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b="1">
              <a:solidFill>
                <a:schemeClr val="bg1"/>
              </a:solidFill>
            </a:rPr>
            <a:t>DAMAGE INSULATION </a:t>
          </a:r>
        </a:p>
      </xdr:txBody>
    </xdr:sp>
    <xdr:clientData/>
  </xdr:twoCellAnchor>
  <xdr:twoCellAnchor editAs="oneCell">
    <xdr:from>
      <xdr:col>15</xdr:col>
      <xdr:colOff>22860</xdr:colOff>
      <xdr:row>21</xdr:row>
      <xdr:rowOff>99060</xdr:rowOff>
    </xdr:from>
    <xdr:to>
      <xdr:col>17</xdr:col>
      <xdr:colOff>84941</xdr:colOff>
      <xdr:row>25</xdr:row>
      <xdr:rowOff>36015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F5DAB8AC-A0DD-4CBE-927B-7ACFDB044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64780" y="4160520"/>
          <a:ext cx="1128881" cy="6684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58913</xdr:colOff>
      <xdr:row>2</xdr:row>
      <xdr:rowOff>148897</xdr:rowOff>
    </xdr:from>
    <xdr:to>
      <xdr:col>3</xdr:col>
      <xdr:colOff>480060</xdr:colOff>
      <xdr:row>6</xdr:row>
      <xdr:rowOff>168770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3504CDCE-6C06-4B86-8D88-FFCEFDD58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66633" y="560377"/>
          <a:ext cx="954547" cy="720913"/>
        </a:xfrm>
        <a:prstGeom prst="rect">
          <a:avLst/>
        </a:prstGeom>
        <a:ln w="63500">
          <a:noFill/>
        </a:ln>
        <a:effectLst>
          <a:softEdge rad="76200"/>
        </a:effectLst>
      </xdr:spPr>
    </xdr:pic>
    <xdr:clientData/>
  </xdr:twoCellAnchor>
  <xdr:twoCellAnchor>
    <xdr:from>
      <xdr:col>22</xdr:col>
      <xdr:colOff>458728</xdr:colOff>
      <xdr:row>28</xdr:row>
      <xdr:rowOff>23453</xdr:rowOff>
    </xdr:from>
    <xdr:to>
      <xdr:col>25</xdr:col>
      <xdr:colOff>198110</xdr:colOff>
      <xdr:row>31</xdr:row>
      <xdr:rowOff>121144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xmlns="" id="{F25E1519-8F39-49B4-BCF9-109504B8CE7F}"/>
            </a:ext>
          </a:extLst>
        </xdr:cNvPr>
        <xdr:cNvSpPr txBox="1"/>
      </xdr:nvSpPr>
      <xdr:spPr>
        <a:xfrm>
          <a:off x="13016488" y="5159333"/>
          <a:ext cx="1568182" cy="64633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b="1">
              <a:solidFill>
                <a:schemeClr val="bg1"/>
              </a:solidFill>
            </a:rPr>
            <a:t>DAMAGE INSULATION </a:t>
          </a:r>
        </a:p>
      </xdr:txBody>
    </xdr:sp>
    <xdr:clientData/>
  </xdr:twoCellAnchor>
  <xdr:twoCellAnchor editAs="oneCell">
    <xdr:from>
      <xdr:col>5</xdr:col>
      <xdr:colOff>99061</xdr:colOff>
      <xdr:row>3</xdr:row>
      <xdr:rowOff>0</xdr:rowOff>
    </xdr:from>
    <xdr:to>
      <xdr:col>6</xdr:col>
      <xdr:colOff>469360</xdr:colOff>
      <xdr:row>7</xdr:row>
      <xdr:rowOff>7619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7ED4CC60-DFFB-4620-8293-6B3D15541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06981" y="586740"/>
          <a:ext cx="903699" cy="708659"/>
        </a:xfrm>
        <a:prstGeom prst="rect">
          <a:avLst/>
        </a:prstGeom>
        <a:ln w="57150">
          <a:noFill/>
        </a:ln>
        <a:effectLst>
          <a:softEdge rad="76200"/>
        </a:effectLst>
      </xdr:spPr>
    </xdr:pic>
    <xdr:clientData/>
  </xdr:twoCellAnchor>
  <xdr:twoCellAnchor editAs="oneCell">
    <xdr:from>
      <xdr:col>1</xdr:col>
      <xdr:colOff>91440</xdr:colOff>
      <xdr:row>9</xdr:row>
      <xdr:rowOff>205740</xdr:rowOff>
    </xdr:from>
    <xdr:to>
      <xdr:col>5</xdr:col>
      <xdr:colOff>99060</xdr:colOff>
      <xdr:row>10</xdr:row>
      <xdr:rowOff>137160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FCDC6A61-C375-401F-B13F-922712C03A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10069" b="-4360"/>
        <a:stretch/>
      </xdr:blipFill>
      <xdr:spPr>
        <a:xfrm>
          <a:off x="365760" y="1844040"/>
          <a:ext cx="2141220" cy="228600"/>
        </a:xfrm>
        <a:prstGeom prst="rect">
          <a:avLst/>
        </a:prstGeom>
      </xdr:spPr>
    </xdr:pic>
    <xdr:clientData/>
  </xdr:twoCellAnchor>
  <xdr:twoCellAnchor editAs="oneCell">
    <xdr:from>
      <xdr:col>15</xdr:col>
      <xdr:colOff>22860</xdr:colOff>
      <xdr:row>21</xdr:row>
      <xdr:rowOff>99060</xdr:rowOff>
    </xdr:from>
    <xdr:to>
      <xdr:col>17</xdr:col>
      <xdr:colOff>84941</xdr:colOff>
      <xdr:row>25</xdr:row>
      <xdr:rowOff>5535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B6684A7A-DAB8-4CB2-8C1D-C6F58079E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808720" y="4160520"/>
          <a:ext cx="1128881" cy="668475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129541</xdr:colOff>
      <xdr:row>17</xdr:row>
      <xdr:rowOff>213361</xdr:rowOff>
    </xdr:from>
    <xdr:to>
      <xdr:col>4</xdr:col>
      <xdr:colOff>167640</xdr:colOff>
      <xdr:row>18</xdr:row>
      <xdr:rowOff>121920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120F6420-385D-497B-ADBA-3171EE2F98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r="40886" b="8136"/>
        <a:stretch/>
      </xdr:blipFill>
      <xdr:spPr>
        <a:xfrm>
          <a:off x="403861" y="3375661"/>
          <a:ext cx="1638299" cy="236219"/>
        </a:xfrm>
        <a:prstGeom prst="rect">
          <a:avLst/>
        </a:prstGeom>
      </xdr:spPr>
    </xdr:pic>
    <xdr:clientData/>
  </xdr:twoCellAnchor>
  <xdr:twoCellAnchor editAs="oneCell">
    <xdr:from>
      <xdr:col>8</xdr:col>
      <xdr:colOff>99060</xdr:colOff>
      <xdr:row>2</xdr:row>
      <xdr:rowOff>167640</xdr:rowOff>
    </xdr:from>
    <xdr:to>
      <xdr:col>9</xdr:col>
      <xdr:colOff>419100</xdr:colOff>
      <xdr:row>6</xdr:row>
      <xdr:rowOff>151550</xdr:rowOff>
    </xdr:to>
    <xdr:pic>
      <xdr:nvPicPr>
        <xdr:cNvPr id="15" name="Picture 1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xmlns="" id="{05675058-0A32-4997-A3FA-D007E887FD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4072" b="13582"/>
        <a:stretch/>
      </xdr:blipFill>
      <xdr:spPr>
        <a:xfrm>
          <a:off x="4107180" y="579120"/>
          <a:ext cx="853440" cy="684950"/>
        </a:xfrm>
        <a:prstGeom prst="rect">
          <a:avLst/>
        </a:prstGeom>
        <a:effectLst>
          <a:softEdge rad="76200"/>
        </a:effectLst>
      </xdr:spPr>
    </xdr:pic>
    <xdr:clientData/>
  </xdr:twoCellAnchor>
  <xdr:twoCellAnchor editAs="oneCell">
    <xdr:from>
      <xdr:col>11</xdr:col>
      <xdr:colOff>130612</xdr:colOff>
      <xdr:row>3</xdr:row>
      <xdr:rowOff>22859</xdr:rowOff>
    </xdr:from>
    <xdr:to>
      <xdr:col>12</xdr:col>
      <xdr:colOff>396240</xdr:colOff>
      <xdr:row>6</xdr:row>
      <xdr:rowOff>142486</xdr:rowOff>
    </xdr:to>
    <xdr:pic>
      <xdr:nvPicPr>
        <xdr:cNvPr id="16" name="Picture 1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xmlns="" id="{CF76AE91-3DA2-4315-A27A-C9AA124BF9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t="15000" r="13442" b="8889"/>
        <a:stretch/>
      </xdr:blipFill>
      <xdr:spPr>
        <a:xfrm>
          <a:off x="5738932" y="609599"/>
          <a:ext cx="799028" cy="645407"/>
        </a:xfrm>
        <a:prstGeom prst="rect">
          <a:avLst/>
        </a:prstGeom>
        <a:effectLst>
          <a:softEdge rad="76200"/>
        </a:effectLst>
      </xdr:spPr>
    </xdr:pic>
    <xdr:clientData/>
  </xdr:twoCellAnchor>
  <xdr:twoCellAnchor editAs="oneCell">
    <xdr:from>
      <xdr:col>5</xdr:col>
      <xdr:colOff>60960</xdr:colOff>
      <xdr:row>11</xdr:row>
      <xdr:rowOff>15241</xdr:rowOff>
    </xdr:from>
    <xdr:to>
      <xdr:col>6</xdr:col>
      <xdr:colOff>506625</xdr:colOff>
      <xdr:row>14</xdr:row>
      <xdr:rowOff>114301</xdr:rowOff>
    </xdr:to>
    <xdr:pic>
      <xdr:nvPicPr>
        <xdr:cNvPr id="17" name="Picture 16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xmlns="" id="{004A8738-7A7F-4FA0-91E3-97902A8EF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2468880" y="2125981"/>
          <a:ext cx="979065" cy="624840"/>
        </a:xfrm>
        <a:prstGeom prst="rect">
          <a:avLst/>
        </a:prstGeom>
        <a:effectLst>
          <a:softEdge rad="76200"/>
        </a:effectLst>
      </xdr:spPr>
    </xdr:pic>
    <xdr:clientData/>
  </xdr:twoCellAnchor>
  <xdr:twoCellAnchor editAs="oneCell">
    <xdr:from>
      <xdr:col>14</xdr:col>
      <xdr:colOff>76200</xdr:colOff>
      <xdr:row>11</xdr:row>
      <xdr:rowOff>7620</xdr:rowOff>
    </xdr:from>
    <xdr:to>
      <xdr:col>15</xdr:col>
      <xdr:colOff>441271</xdr:colOff>
      <xdr:row>14</xdr:row>
      <xdr:rowOff>155708</xdr:rowOff>
    </xdr:to>
    <xdr:pic>
      <xdr:nvPicPr>
        <xdr:cNvPr id="19" name="Picture 18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xmlns="" id="{4DD456D3-9E21-40F9-88A8-96AE1B9E1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7284720" y="2118360"/>
          <a:ext cx="898471" cy="673868"/>
        </a:xfrm>
        <a:prstGeom prst="rect">
          <a:avLst/>
        </a:prstGeom>
        <a:ln w="0">
          <a:solidFill>
            <a:schemeClr val="bg1"/>
          </a:solidFill>
        </a:ln>
        <a:effectLst>
          <a:softEdge rad="50800"/>
        </a:effectLst>
      </xdr:spPr>
    </xdr:pic>
    <xdr:clientData/>
  </xdr:twoCellAnchor>
  <xdr:twoCellAnchor editAs="oneCell">
    <xdr:from>
      <xdr:col>1</xdr:col>
      <xdr:colOff>518161</xdr:colOff>
      <xdr:row>11</xdr:row>
      <xdr:rowOff>45720</xdr:rowOff>
    </xdr:from>
    <xdr:to>
      <xdr:col>3</xdr:col>
      <xdr:colOff>469061</xdr:colOff>
      <xdr:row>14</xdr:row>
      <xdr:rowOff>160020</xdr:rowOff>
    </xdr:to>
    <xdr:pic>
      <xdr:nvPicPr>
        <xdr:cNvPr id="20" name="Picture 19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xmlns="" id="{2EF34D2E-8647-4FF8-98A7-720720DF7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792481" y="2156460"/>
          <a:ext cx="1017700" cy="640080"/>
        </a:xfrm>
        <a:prstGeom prst="rect">
          <a:avLst/>
        </a:prstGeom>
        <a:effectLst>
          <a:softEdge rad="76200"/>
        </a:effectLst>
      </xdr:spPr>
    </xdr:pic>
    <xdr:clientData/>
  </xdr:twoCellAnchor>
  <xdr:twoCellAnchor editAs="oneCell">
    <xdr:from>
      <xdr:col>1</xdr:col>
      <xdr:colOff>510540</xdr:colOff>
      <xdr:row>19</xdr:row>
      <xdr:rowOff>7620</xdr:rowOff>
    </xdr:from>
    <xdr:to>
      <xdr:col>3</xdr:col>
      <xdr:colOff>495872</xdr:colOff>
      <xdr:row>22</xdr:row>
      <xdr:rowOff>167640</xdr:rowOff>
    </xdr:to>
    <xdr:pic>
      <xdr:nvPicPr>
        <xdr:cNvPr id="23" name="Picture 22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xmlns="" id="{50781C6F-8B71-4919-8315-9C28F3A0F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84860" y="3695700"/>
          <a:ext cx="1052132" cy="723900"/>
        </a:xfrm>
        <a:prstGeom prst="rect">
          <a:avLst/>
        </a:prstGeom>
        <a:effectLst>
          <a:softEdge rad="76200"/>
        </a:effectLst>
      </xdr:spPr>
    </xdr:pic>
    <xdr:clientData/>
  </xdr:twoCellAnchor>
  <xdr:twoCellAnchor editAs="oneCell">
    <xdr:from>
      <xdr:col>14</xdr:col>
      <xdr:colOff>15241</xdr:colOff>
      <xdr:row>3</xdr:row>
      <xdr:rowOff>7620</xdr:rowOff>
    </xdr:from>
    <xdr:to>
      <xdr:col>15</xdr:col>
      <xdr:colOff>502920</xdr:colOff>
      <xdr:row>6</xdr:row>
      <xdr:rowOff>152400</xdr:rowOff>
    </xdr:to>
    <xdr:pic>
      <xdr:nvPicPr>
        <xdr:cNvPr id="25" name="Picture 24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xmlns="" id="{884AF711-DE53-403E-B7FC-B1D06922E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7223761" y="594360"/>
          <a:ext cx="1021079" cy="670560"/>
        </a:xfrm>
        <a:prstGeom prst="rect">
          <a:avLst/>
        </a:prstGeom>
        <a:effectLst>
          <a:softEdge rad="76200"/>
        </a:effectLst>
      </xdr:spPr>
    </xdr:pic>
    <xdr:clientData/>
  </xdr:twoCellAnchor>
  <xdr:twoCellAnchor editAs="oneCell">
    <xdr:from>
      <xdr:col>5</xdr:col>
      <xdr:colOff>0</xdr:colOff>
      <xdr:row>19</xdr:row>
      <xdr:rowOff>10160</xdr:rowOff>
    </xdr:from>
    <xdr:to>
      <xdr:col>6</xdr:col>
      <xdr:colOff>15240</xdr:colOff>
      <xdr:row>23</xdr:row>
      <xdr:rowOff>7620</xdr:rowOff>
    </xdr:to>
    <xdr:pic>
      <xdr:nvPicPr>
        <xdr:cNvPr id="26" name="Picture 25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xmlns="" id="{B4050638-2C75-4448-808D-CF85F0FB56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3" cstate="print"/>
        <a:srcRect l="51786" t="19565"/>
        <a:stretch/>
      </xdr:blipFill>
      <xdr:spPr>
        <a:xfrm>
          <a:off x="2407920" y="3698240"/>
          <a:ext cx="548640" cy="751840"/>
        </a:xfrm>
        <a:prstGeom prst="rect">
          <a:avLst/>
        </a:prstGeom>
        <a:effectLst>
          <a:softEdge rad="76200"/>
        </a:effectLst>
      </xdr:spPr>
    </xdr:pic>
    <xdr:clientData/>
  </xdr:twoCellAnchor>
  <xdr:twoCellAnchor editAs="oneCell">
    <xdr:from>
      <xdr:col>5</xdr:col>
      <xdr:colOff>507937</xdr:colOff>
      <xdr:row>19</xdr:row>
      <xdr:rowOff>30480</xdr:rowOff>
    </xdr:from>
    <xdr:to>
      <xdr:col>6</xdr:col>
      <xdr:colOff>487681</xdr:colOff>
      <xdr:row>22</xdr:row>
      <xdr:rowOff>167640</xdr:rowOff>
    </xdr:to>
    <xdr:pic>
      <xdr:nvPicPr>
        <xdr:cNvPr id="30" name="Picture 29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xmlns="" id="{1777B532-79C9-42DA-91CD-D18EA1313C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5" cstate="print"/>
        <a:srcRect r="51218"/>
        <a:stretch/>
      </xdr:blipFill>
      <xdr:spPr>
        <a:xfrm>
          <a:off x="2915857" y="3718560"/>
          <a:ext cx="513144" cy="701040"/>
        </a:xfrm>
        <a:prstGeom prst="rect">
          <a:avLst/>
        </a:prstGeom>
        <a:effectLst>
          <a:softEdge rad="76200"/>
        </a:effectLst>
      </xdr:spPr>
    </xdr:pic>
    <xdr:clientData/>
  </xdr:twoCellAnchor>
  <xdr:twoCellAnchor editAs="oneCell">
    <xdr:from>
      <xdr:col>8</xdr:col>
      <xdr:colOff>7620</xdr:colOff>
      <xdr:row>11</xdr:row>
      <xdr:rowOff>22860</xdr:rowOff>
    </xdr:from>
    <xdr:to>
      <xdr:col>9</xdr:col>
      <xdr:colOff>472440</xdr:colOff>
      <xdr:row>14</xdr:row>
      <xdr:rowOff>120911</xdr:rowOff>
    </xdr:to>
    <xdr:pic>
      <xdr:nvPicPr>
        <xdr:cNvPr id="31" name="Picture 30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xmlns="" id="{6E847EC8-70C3-4C4B-A399-8F71D427D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4015740" y="2133600"/>
          <a:ext cx="998220" cy="623831"/>
        </a:xfrm>
        <a:prstGeom prst="rect">
          <a:avLst/>
        </a:prstGeom>
        <a:effectLst>
          <a:softEdge rad="76200"/>
        </a:effectLst>
      </xdr:spPr>
    </xdr:pic>
    <xdr:clientData/>
  </xdr:twoCellAnchor>
  <xdr:twoCellAnchor editAs="oneCell">
    <xdr:from>
      <xdr:col>1</xdr:col>
      <xdr:colOff>53340</xdr:colOff>
      <xdr:row>1</xdr:row>
      <xdr:rowOff>129540</xdr:rowOff>
    </xdr:from>
    <xdr:to>
      <xdr:col>6</xdr:col>
      <xdr:colOff>100626</xdr:colOff>
      <xdr:row>2</xdr:row>
      <xdr:rowOff>119988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61048BE7-46BB-44A8-8567-501032D77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327660" y="312420"/>
          <a:ext cx="2714286" cy="219048"/>
        </a:xfrm>
        <a:prstGeom prst="rect">
          <a:avLst/>
        </a:prstGeom>
      </xdr:spPr>
    </xdr:pic>
    <xdr:clientData/>
  </xdr:twoCellAnchor>
  <xdr:oneCellAnchor>
    <xdr:from>
      <xdr:col>8</xdr:col>
      <xdr:colOff>76200</xdr:colOff>
      <xdr:row>19</xdr:row>
      <xdr:rowOff>7620</xdr:rowOff>
    </xdr:from>
    <xdr:ext cx="898471" cy="673868"/>
    <xdr:pic>
      <xdr:nvPicPr>
        <xdr:cNvPr id="21" name="Picture 20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xmlns="" id="{1B50B54C-C9E6-4BD8-8D61-9C8432E6E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7284720" y="2118360"/>
          <a:ext cx="898471" cy="673868"/>
        </a:xfrm>
        <a:prstGeom prst="rect">
          <a:avLst/>
        </a:prstGeom>
        <a:ln w="0">
          <a:solidFill>
            <a:schemeClr val="bg1"/>
          </a:solidFill>
        </a:ln>
        <a:effectLst>
          <a:softEdge rad="50800"/>
        </a:effec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lob/Desktop/1.Work/2.%20EiiF/Projects/TBI/TBI%20app%20v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ndreas"/>
      <sheetName val="TBi"/>
      <sheetName val="Intro 1"/>
      <sheetName val="Intro v2"/>
      <sheetName val="Surfaces"/>
      <sheetName val="Surfaces dev"/>
      <sheetName val="Pipe"/>
      <sheetName val="Flange"/>
      <sheetName val="Flange LLB"/>
      <sheetName val="Valve"/>
      <sheetName val="Valve LLB"/>
      <sheetName val="Others"/>
      <sheetName val="I Surface"/>
      <sheetName val="I Pipe"/>
      <sheetName val="Cladding"/>
      <sheetName val="Insulation"/>
      <sheetName val="Others insulated"/>
      <sheetName val="Cold energy"/>
      <sheetName val="Wet Ice"/>
      <sheetName val="Photos"/>
      <sheetName val="Summary"/>
      <sheetName val="Summary develop"/>
      <sheetName val="Default values "/>
      <sheetName val="Warning list "/>
      <sheetName val="Insulation material "/>
      <sheetName val="Flanges "/>
      <sheetName val="insulation thickness"/>
      <sheetName val="Valve1"/>
      <sheetName val="Valve 2"/>
      <sheetName val="Valve3"/>
    </sheetNames>
    <sheetDataSet>
      <sheetData sheetId="0" refreshError="1"/>
      <sheetData sheetId="1">
        <row r="27">
          <cell r="L27">
            <v>0.1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2">
          <cell r="A2" t="str">
            <v>Defaul value ε=0,8</v>
          </cell>
          <cell r="C2" t="str">
            <v xml:space="preserve">1000 hours </v>
          </cell>
          <cell r="D2">
            <v>1000</v>
          </cell>
        </row>
        <row r="3">
          <cell r="C3" t="str">
            <v>2000 hours</v>
          </cell>
          <cell r="D3">
            <v>2000</v>
          </cell>
        </row>
        <row r="4">
          <cell r="C4" t="str">
            <v>3000 hours</v>
          </cell>
          <cell r="D4">
            <v>3000</v>
          </cell>
        </row>
        <row r="5">
          <cell r="C5" t="str">
            <v>4380 hours (1/2 year)</v>
          </cell>
          <cell r="D5">
            <v>4380</v>
          </cell>
        </row>
        <row r="6">
          <cell r="C6" t="str">
            <v>5000 hours</v>
          </cell>
          <cell r="D6">
            <v>5000</v>
          </cell>
        </row>
        <row r="7">
          <cell r="C7" t="str">
            <v>6000 hours</v>
          </cell>
          <cell r="D7">
            <v>6000</v>
          </cell>
        </row>
        <row r="8">
          <cell r="C8" t="str">
            <v>7000 hours</v>
          </cell>
          <cell r="D8">
            <v>7000</v>
          </cell>
        </row>
        <row r="9">
          <cell r="C9" t="str">
            <v>8760 hours (full year)</v>
          </cell>
          <cell r="D9">
            <v>8760</v>
          </cell>
        </row>
        <row r="10">
          <cell r="C10" t="str">
            <v xml:space="preserve">free input </v>
          </cell>
          <cell r="D10">
            <v>0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3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insulation.org/io/articles/maintain-insulation-jacketing-to-ensure-mechanical-insulation-performance/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5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insulation.org/io/articles/maintain-insulation-jacketing-to-ensure-mechanical-insulation-performance/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https://www.translatorscafe.com/unit-converter/en/fuel-efficiency-mass/5-15/Btu%20(IT)%2Fpound-gram%2Fkilowatt-hour/" TargetMode="External"/><Relationship Id="rId1" Type="http://schemas.openxmlformats.org/officeDocument/2006/relationships/hyperlink" Target="https://www.eia.gov/tools/faqs/faq.php?id=73&amp;t=11" TargetMode="External"/><Relationship Id="rId4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20"/>
  <sheetViews>
    <sheetView topLeftCell="A5" zoomScale="90" zoomScaleNormal="90" workbookViewId="0">
      <selection activeCell="A5" sqref="A1:XFD1048576"/>
    </sheetView>
  </sheetViews>
  <sheetFormatPr baseColWidth="10" defaultColWidth="8.85546875" defaultRowHeight="12"/>
  <cols>
    <col min="1" max="1" width="2.5703125" style="386" customWidth="1"/>
    <col min="2" max="2" width="4" style="386" customWidth="1"/>
    <col min="3" max="3" width="3.7109375" style="386" customWidth="1"/>
    <col min="4" max="4" width="4" style="386" customWidth="1"/>
    <col min="5" max="5" width="3.7109375" style="386" customWidth="1"/>
    <col min="6" max="6" width="4" style="386" customWidth="1"/>
    <col min="7" max="7" width="3.7109375" style="386" customWidth="1"/>
    <col min="8" max="8" width="4" style="386" customWidth="1"/>
    <col min="9" max="9" width="3.7109375" style="386" customWidth="1"/>
    <col min="10" max="10" width="4" style="386" customWidth="1"/>
    <col min="11" max="11" width="3.7109375" style="386" customWidth="1"/>
    <col min="12" max="12" width="4" style="386" customWidth="1"/>
    <col min="13" max="13" width="3.7109375" style="386" customWidth="1"/>
    <col min="14" max="14" width="4" style="386" customWidth="1"/>
    <col min="15" max="15" width="3.7109375" style="386" customWidth="1"/>
    <col min="16" max="16" width="4" style="386" customWidth="1"/>
    <col min="17" max="26" width="3.7109375" style="386" customWidth="1"/>
    <col min="27" max="27" width="4.7109375" style="386" customWidth="1"/>
    <col min="28" max="28" width="5.7109375" style="386" customWidth="1"/>
    <col min="29" max="29" width="3.28515625" style="386" customWidth="1"/>
    <col min="30" max="30" width="5.7109375" style="386" customWidth="1"/>
    <col min="31" max="31" width="3.28515625" style="386" customWidth="1"/>
    <col min="32" max="32" width="5.42578125" style="386" customWidth="1"/>
    <col min="33" max="33" width="3.42578125" style="386" customWidth="1"/>
    <col min="34" max="34" width="5.42578125" style="386" customWidth="1"/>
    <col min="35" max="35" width="3.28515625" style="386" customWidth="1"/>
    <col min="36" max="36" width="5.7109375" style="386" customWidth="1"/>
    <col min="37" max="37" width="4.7109375" style="386" customWidth="1"/>
    <col min="38" max="38" width="5.7109375" style="386" customWidth="1"/>
    <col min="39" max="39" width="2.7109375" style="386" customWidth="1"/>
    <col min="40" max="40" width="5.7109375" style="386" customWidth="1"/>
    <col min="41" max="41" width="2.7109375" style="386" customWidth="1"/>
    <col min="42" max="42" width="5.7109375" style="386" customWidth="1"/>
    <col min="43" max="43" width="2.7109375" style="386" customWidth="1"/>
    <col min="44" max="44" width="5.7109375" style="386" customWidth="1"/>
    <col min="45" max="45" width="2.7109375" style="386" customWidth="1"/>
    <col min="46" max="46" width="5.7109375" style="386" customWidth="1"/>
    <col min="47" max="47" width="2.7109375" style="386" customWidth="1"/>
    <col min="48" max="48" width="5.7109375" style="386" customWidth="1"/>
    <col min="49" max="49" width="4.7109375" style="386" customWidth="1"/>
    <col min="50" max="50" width="11.28515625" style="386" customWidth="1"/>
    <col min="51" max="51" width="3.7109375" style="386" customWidth="1"/>
    <col min="52" max="16384" width="8.85546875" style="386"/>
  </cols>
  <sheetData>
    <row r="1" spans="1:50" ht="15.75">
      <c r="B1" s="413" t="s">
        <v>278</v>
      </c>
    </row>
    <row r="3" spans="1:50" ht="12.75">
      <c r="B3" s="411" t="s">
        <v>279</v>
      </c>
      <c r="G3" s="412"/>
      <c r="H3" s="408"/>
      <c r="I3" s="408"/>
      <c r="J3" s="408"/>
      <c r="L3" s="411" t="s">
        <v>280</v>
      </c>
      <c r="O3" s="412"/>
      <c r="P3" s="409"/>
      <c r="Q3" s="409"/>
      <c r="R3" s="409"/>
      <c r="T3" s="411" t="s">
        <v>281</v>
      </c>
      <c r="Z3" s="400"/>
      <c r="AA3" s="400"/>
      <c r="AB3" s="400"/>
      <c r="AE3" s="411" t="s">
        <v>282</v>
      </c>
      <c r="AF3" s="411"/>
      <c r="AG3" s="411"/>
      <c r="AK3" s="393"/>
      <c r="AL3" s="393"/>
      <c r="AM3" s="393"/>
      <c r="AP3" s="411" t="s">
        <v>283</v>
      </c>
      <c r="AS3" s="394"/>
      <c r="AT3" s="394"/>
      <c r="AU3" s="394"/>
      <c r="AV3" s="411"/>
    </row>
    <row r="5" spans="1:50" ht="12.75" thickBot="1">
      <c r="A5" s="406"/>
      <c r="B5" s="406"/>
      <c r="C5" s="406"/>
      <c r="D5" s="406"/>
      <c r="E5" s="406"/>
      <c r="F5" s="406"/>
      <c r="G5" s="406"/>
      <c r="H5" s="406"/>
      <c r="I5" s="406"/>
      <c r="J5" s="406"/>
      <c r="K5" s="406"/>
      <c r="L5" s="406"/>
      <c r="M5" s="406"/>
      <c r="N5" s="406"/>
      <c r="O5" s="406"/>
      <c r="P5" s="406"/>
      <c r="Q5" s="406"/>
      <c r="R5" s="406"/>
      <c r="S5" s="406"/>
      <c r="T5" s="406"/>
      <c r="U5" s="406"/>
      <c r="V5" s="406"/>
      <c r="W5" s="406"/>
      <c r="X5" s="406"/>
      <c r="Y5" s="406"/>
      <c r="Z5" s="406"/>
      <c r="AA5" s="406"/>
      <c r="AB5" s="406"/>
      <c r="AC5" s="406"/>
      <c r="AD5" s="406"/>
      <c r="AE5" s="406"/>
      <c r="AF5" s="406"/>
      <c r="AG5" s="406"/>
      <c r="AH5" s="406"/>
      <c r="AI5" s="406"/>
      <c r="AJ5" s="406"/>
      <c r="AK5" s="406"/>
      <c r="AL5" s="406"/>
      <c r="AM5" s="406"/>
      <c r="AN5" s="406"/>
      <c r="AO5" s="406"/>
      <c r="AP5" s="406"/>
      <c r="AQ5" s="406"/>
      <c r="AR5" s="406"/>
      <c r="AS5" s="406"/>
      <c r="AT5" s="406"/>
      <c r="AU5" s="406"/>
      <c r="AV5" s="406"/>
      <c r="AW5" s="406"/>
      <c r="AX5" s="406"/>
    </row>
    <row r="6" spans="1:50" ht="12.75" thickBot="1"/>
    <row r="7" spans="1:50" ht="15" customHeight="1" thickBot="1">
      <c r="B7" s="688" t="s">
        <v>268</v>
      </c>
      <c r="C7" s="689"/>
      <c r="D7" s="689"/>
      <c r="E7" s="689"/>
      <c r="F7" s="689"/>
      <c r="G7" s="689"/>
      <c r="H7" s="689"/>
      <c r="I7" s="689"/>
      <c r="J7" s="689"/>
      <c r="K7" s="689"/>
      <c r="L7" s="689"/>
      <c r="M7" s="689"/>
      <c r="N7" s="689"/>
      <c r="O7" s="689"/>
      <c r="P7" s="689"/>
      <c r="Q7" s="689"/>
      <c r="R7" s="689"/>
      <c r="S7" s="689"/>
      <c r="T7" s="689"/>
      <c r="U7" s="689"/>
      <c r="V7" s="689"/>
      <c r="W7" s="689"/>
      <c r="X7" s="689"/>
      <c r="Y7" s="689"/>
      <c r="Z7" s="690"/>
      <c r="AB7" s="685" t="s">
        <v>269</v>
      </c>
      <c r="AC7" s="686"/>
      <c r="AD7" s="686"/>
      <c r="AE7" s="686"/>
      <c r="AF7" s="686"/>
      <c r="AG7" s="686"/>
      <c r="AH7" s="686"/>
      <c r="AI7" s="686"/>
      <c r="AJ7" s="687"/>
      <c r="AL7" s="682" t="s">
        <v>270</v>
      </c>
      <c r="AM7" s="683"/>
      <c r="AN7" s="683"/>
      <c r="AO7" s="683"/>
      <c r="AP7" s="683"/>
      <c r="AQ7" s="683"/>
      <c r="AR7" s="683"/>
      <c r="AS7" s="683"/>
      <c r="AT7" s="683"/>
      <c r="AU7" s="683"/>
      <c r="AV7" s="684"/>
      <c r="AX7" s="405" t="s">
        <v>272</v>
      </c>
    </row>
    <row r="9" spans="1:50" ht="12.75" thickBot="1">
      <c r="V9" s="389"/>
      <c r="W9" s="389"/>
      <c r="X9" s="389"/>
    </row>
    <row r="10" spans="1:50" s="388" customFormat="1" ht="59.45" customHeight="1" thickBot="1">
      <c r="B10" s="676" t="s">
        <v>297</v>
      </c>
      <c r="C10" s="677"/>
      <c r="D10" s="677"/>
      <c r="E10" s="677"/>
      <c r="F10" s="677"/>
      <c r="G10" s="677"/>
      <c r="H10" s="677"/>
      <c r="I10" s="677"/>
      <c r="J10" s="678"/>
      <c r="L10" s="676" t="s">
        <v>211</v>
      </c>
      <c r="M10" s="677"/>
      <c r="N10" s="677"/>
      <c r="O10" s="677"/>
      <c r="P10" s="677"/>
      <c r="Q10" s="677"/>
      <c r="R10" s="677"/>
      <c r="S10" s="677"/>
      <c r="T10" s="678"/>
      <c r="V10" s="679" t="s">
        <v>263</v>
      </c>
      <c r="W10" s="680"/>
      <c r="X10" s="680"/>
      <c r="Y10" s="680"/>
      <c r="Z10" s="681"/>
      <c r="AB10" s="396" t="s">
        <v>276</v>
      </c>
      <c r="AC10" s="392"/>
      <c r="AD10" s="396" t="s">
        <v>265</v>
      </c>
      <c r="AE10" s="392"/>
      <c r="AF10" s="396" t="s">
        <v>251</v>
      </c>
      <c r="AG10" s="392"/>
      <c r="AH10" s="396" t="s">
        <v>309</v>
      </c>
      <c r="AI10" s="392"/>
      <c r="AJ10" s="396" t="s">
        <v>187</v>
      </c>
      <c r="AK10" s="392"/>
      <c r="AL10" s="517" t="s">
        <v>215</v>
      </c>
      <c r="AM10" s="392"/>
      <c r="AN10" s="525" t="s">
        <v>254</v>
      </c>
      <c r="AO10" s="392"/>
      <c r="AP10" s="517" t="s">
        <v>374</v>
      </c>
      <c r="AQ10" s="392"/>
      <c r="AR10" s="397" t="s">
        <v>310</v>
      </c>
      <c r="AS10" s="392"/>
      <c r="AT10" s="398" t="s">
        <v>266</v>
      </c>
      <c r="AU10" s="392"/>
      <c r="AV10" s="398" t="s">
        <v>267</v>
      </c>
      <c r="AX10" s="523" t="s">
        <v>380</v>
      </c>
    </row>
    <row r="11" spans="1:50" ht="144" thickBot="1">
      <c r="B11" s="540" t="s">
        <v>427</v>
      </c>
      <c r="C11" s="390"/>
      <c r="D11" s="540" t="s">
        <v>117</v>
      </c>
      <c r="E11" s="390"/>
      <c r="F11" s="540" t="s">
        <v>119</v>
      </c>
      <c r="G11" s="390"/>
      <c r="H11" s="540" t="s">
        <v>262</v>
      </c>
      <c r="I11" s="390"/>
      <c r="J11" s="538"/>
      <c r="K11" s="391"/>
      <c r="L11" s="541" t="s">
        <v>428</v>
      </c>
      <c r="M11" s="391"/>
      <c r="N11" s="541" t="s">
        <v>271</v>
      </c>
      <c r="O11" s="391"/>
      <c r="P11" s="539"/>
      <c r="Q11" s="391"/>
      <c r="R11" s="542" t="s">
        <v>215</v>
      </c>
      <c r="S11" s="391"/>
      <c r="T11" s="518"/>
      <c r="U11" s="391"/>
      <c r="V11" s="521" t="s">
        <v>264</v>
      </c>
      <c r="W11" s="519"/>
      <c r="X11" s="517" t="s">
        <v>215</v>
      </c>
      <c r="Y11" s="391"/>
      <c r="Z11" s="517" t="s">
        <v>374</v>
      </c>
      <c r="AD11" s="524" t="s">
        <v>380</v>
      </c>
      <c r="AF11" s="524" t="s">
        <v>380</v>
      </c>
      <c r="AH11" s="524" t="s">
        <v>380</v>
      </c>
      <c r="AJ11" s="524" t="s">
        <v>380</v>
      </c>
      <c r="AR11" s="524" t="s">
        <v>380</v>
      </c>
      <c r="AT11" s="524" t="s">
        <v>380</v>
      </c>
      <c r="AV11" s="524" t="s">
        <v>380</v>
      </c>
    </row>
    <row r="12" spans="1:50" ht="12.75" thickBot="1"/>
    <row r="13" spans="1:50" s="391" customFormat="1" ht="71.45" customHeight="1" thickBot="1">
      <c r="B13" s="410" t="s">
        <v>277</v>
      </c>
      <c r="C13" s="403"/>
      <c r="D13" s="410" t="s">
        <v>277</v>
      </c>
      <c r="E13" s="403"/>
      <c r="F13" s="410" t="s">
        <v>277</v>
      </c>
      <c r="G13" s="403"/>
      <c r="H13" s="410" t="s">
        <v>277</v>
      </c>
      <c r="I13" s="403"/>
      <c r="J13" s="407"/>
      <c r="K13" s="403"/>
      <c r="L13" s="410" t="s">
        <v>277</v>
      </c>
      <c r="M13" s="403"/>
      <c r="N13" s="410" t="s">
        <v>277</v>
      </c>
      <c r="O13" s="403"/>
      <c r="P13" s="407"/>
      <c r="Q13" s="395"/>
      <c r="R13" s="404"/>
      <c r="S13" s="395"/>
      <c r="T13" s="404"/>
      <c r="U13" s="395"/>
      <c r="V13" s="522" t="s">
        <v>379</v>
      </c>
      <c r="W13" s="520"/>
      <c r="X13" s="520"/>
      <c r="Y13" s="395"/>
      <c r="Z13" s="404"/>
      <c r="AB13" s="522" t="s">
        <v>379</v>
      </c>
      <c r="AD13" s="401" t="s">
        <v>273</v>
      </c>
      <c r="AE13" s="399"/>
      <c r="AF13" s="401" t="s">
        <v>274</v>
      </c>
      <c r="AG13" s="399"/>
      <c r="AH13" s="401" t="s">
        <v>274</v>
      </c>
      <c r="AI13" s="399"/>
      <c r="AJ13" s="401" t="s">
        <v>274</v>
      </c>
      <c r="AL13" s="402" t="s">
        <v>275</v>
      </c>
      <c r="AN13" s="402" t="s">
        <v>275</v>
      </c>
      <c r="AP13" s="402" t="s">
        <v>275</v>
      </c>
      <c r="AR13" s="402" t="s">
        <v>275</v>
      </c>
      <c r="AT13" s="402" t="s">
        <v>275</v>
      </c>
      <c r="AV13" s="402" t="s">
        <v>275</v>
      </c>
    </row>
    <row r="15" spans="1:50" s="395" customFormat="1" ht="18.600000000000001" customHeight="1">
      <c r="B15" s="400"/>
      <c r="C15" s="386"/>
      <c r="D15" s="400"/>
      <c r="E15" s="386"/>
      <c r="F15" s="400"/>
      <c r="G15" s="386"/>
      <c r="H15" s="400"/>
      <c r="I15" s="386"/>
      <c r="J15" s="400"/>
      <c r="K15" s="386"/>
      <c r="L15" s="400"/>
      <c r="M15" s="386"/>
      <c r="N15" s="400"/>
      <c r="O15" s="386"/>
      <c r="P15" s="400"/>
      <c r="Q15" s="386"/>
      <c r="R15" s="386"/>
      <c r="S15" s="386"/>
      <c r="T15" s="386"/>
      <c r="U15" s="386"/>
      <c r="V15" s="386"/>
      <c r="W15" s="386"/>
      <c r="X15" s="386"/>
      <c r="Y15" s="386"/>
      <c r="Z15" s="386"/>
    </row>
    <row r="17" spans="2:37">
      <c r="B17" s="393"/>
      <c r="D17" s="393"/>
      <c r="F17" s="393"/>
      <c r="H17" s="393"/>
      <c r="J17" s="393"/>
      <c r="L17" s="393"/>
      <c r="N17" s="393"/>
      <c r="P17" s="393"/>
    </row>
    <row r="18" spans="2:37" ht="12.75" thickBot="1"/>
    <row r="19" spans="2:37" ht="12.75" thickBot="1">
      <c r="B19" s="394"/>
      <c r="D19" s="394"/>
      <c r="F19" s="394"/>
      <c r="H19" s="394"/>
      <c r="J19" s="394"/>
      <c r="L19" s="394"/>
      <c r="N19" s="394"/>
      <c r="P19" s="394"/>
      <c r="AK19" s="387"/>
    </row>
    <row r="20" spans="2:37">
      <c r="AC20" s="403"/>
    </row>
  </sheetData>
  <mergeCells count="6">
    <mergeCell ref="B10:J10"/>
    <mergeCell ref="L10:T10"/>
    <mergeCell ref="V10:Z10"/>
    <mergeCell ref="AL7:AV7"/>
    <mergeCell ref="AB7:AJ7"/>
    <mergeCell ref="B7:Z7"/>
  </mergeCells>
  <hyperlinks>
    <hyperlink ref="B11" location="Surface!A1" display="Surface"/>
    <hyperlink ref="D11" location="Pipe!A1" display="Pipe"/>
    <hyperlink ref="F11" location="Valve!A1" display="Valve"/>
    <hyperlink ref="H11" location="Flange!A1" display="Flanges"/>
    <hyperlink ref="L11" location="'I Surface'!A1" display="Insulated Surface"/>
    <hyperlink ref="N11" location="'I Pipe'!A1" display="Insulated Pipe"/>
    <hyperlink ref="R11" location="Damaged!A1" display="Damaged "/>
    <hyperlink ref="X11" location="Damaged!A1" display="Damaged "/>
    <hyperlink ref="Z11" location="Condensation!A1" display="Condensation "/>
    <hyperlink ref="V13" location="'Cold energy'!A1" display="Insulation*"/>
    <hyperlink ref="AB13" location="'Cold energy'!A1" display="Insulation*"/>
    <hyperlink ref="AX10" location="'basic report '!A1" display="basic report "/>
    <hyperlink ref="AD11" location="'basic report '!A1" display="basic report "/>
    <hyperlink ref="AF11" location="'basic report '!A1" display="basic report "/>
    <hyperlink ref="AH11" location="'basic report '!A1" display="basic report "/>
    <hyperlink ref="AJ11" location="'basic report '!A1" display="basic report "/>
    <hyperlink ref="AR11" location="'basic report '!A1" display="basic report "/>
    <hyperlink ref="AT11" location="'basic report '!A1" display="basic report "/>
    <hyperlink ref="AV11" location="'basic report '!A1" display="basic report "/>
    <hyperlink ref="AP10" location="Condensation!A1" display="Condensation "/>
    <hyperlink ref="AN10" location="Leakage!A1" display="Leakage"/>
    <hyperlink ref="AL10" location="Damaged!A1" display="Damaged 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9"/>
  <sheetViews>
    <sheetView workbookViewId="0">
      <selection activeCell="L21" sqref="L21"/>
    </sheetView>
  </sheetViews>
  <sheetFormatPr baseColWidth="10" defaultColWidth="9.140625" defaultRowHeight="15"/>
  <cols>
    <col min="1" max="1" width="4" customWidth="1"/>
    <col min="2" max="17" width="7.7109375" customWidth="1"/>
    <col min="18" max="18" width="4.5703125" customWidth="1"/>
    <col min="19" max="25" width="8.85546875" style="2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26" ht="18" customHeight="1" thickBot="1">
      <c r="A2" s="1"/>
      <c r="B2" s="768"/>
      <c r="C2" s="768"/>
      <c r="D2" s="768"/>
      <c r="E2" s="4"/>
      <c r="F2" s="4"/>
      <c r="G2" s="4"/>
      <c r="H2" s="4"/>
      <c r="I2" s="4"/>
      <c r="J2" s="4"/>
      <c r="K2" s="4"/>
      <c r="L2" s="4"/>
      <c r="M2" s="4"/>
      <c r="N2" s="4"/>
      <c r="O2" s="767"/>
      <c r="P2" s="767"/>
      <c r="Q2" s="3"/>
      <c r="R2" s="3"/>
    </row>
    <row r="3" spans="1:26" ht="13.9" customHeight="1" thickTop="1" thickBot="1">
      <c r="A3" s="1"/>
      <c r="B3" s="5"/>
      <c r="C3" s="105"/>
      <c r="D3" s="6"/>
      <c r="E3" s="6"/>
      <c r="F3" s="6"/>
      <c r="G3" s="6"/>
      <c r="H3" s="6"/>
      <c r="I3" s="6"/>
      <c r="J3" s="6"/>
      <c r="K3" s="6"/>
      <c r="L3" s="105"/>
      <c r="M3" s="6"/>
      <c r="N3" s="6"/>
      <c r="O3" s="6"/>
      <c r="P3" s="6"/>
      <c r="Q3" s="7"/>
      <c r="R3" s="1"/>
    </row>
    <row r="4" spans="1:26" ht="13.9" customHeight="1" thickTop="1">
      <c r="A4" s="1"/>
      <c r="B4" s="8"/>
      <c r="C4" s="769"/>
      <c r="D4" s="770"/>
      <c r="E4" s="4"/>
      <c r="F4" s="769"/>
      <c r="G4" s="770"/>
      <c r="H4" s="4"/>
      <c r="I4" s="769"/>
      <c r="J4" s="770"/>
      <c r="K4" s="4"/>
      <c r="L4" s="769"/>
      <c r="M4" s="770"/>
      <c r="N4" s="4"/>
      <c r="O4" s="769"/>
      <c r="P4" s="770"/>
      <c r="Q4" s="9"/>
      <c r="R4" s="1"/>
      <c r="Z4" s="2"/>
    </row>
    <row r="5" spans="1:26" ht="13.9" customHeight="1" thickBot="1">
      <c r="A5" s="1"/>
      <c r="B5" s="8"/>
      <c r="C5" s="771"/>
      <c r="D5" s="772"/>
      <c r="E5" s="4"/>
      <c r="F5" s="771"/>
      <c r="G5" s="772"/>
      <c r="H5" s="15"/>
      <c r="I5" s="771"/>
      <c r="J5" s="772"/>
      <c r="K5" s="4"/>
      <c r="L5" s="771"/>
      <c r="M5" s="772"/>
      <c r="N5" s="4"/>
      <c r="O5" s="771"/>
      <c r="P5" s="772"/>
      <c r="Q5" s="9"/>
      <c r="R5" s="1"/>
      <c r="Z5" s="2"/>
    </row>
    <row r="6" spans="1:26" ht="13.9" customHeight="1" thickTop="1">
      <c r="A6" s="1"/>
      <c r="B6" s="8"/>
      <c r="C6" s="771"/>
      <c r="D6" s="772"/>
      <c r="E6" s="4"/>
      <c r="F6" s="771"/>
      <c r="G6" s="772"/>
      <c r="H6" s="15"/>
      <c r="I6" s="771"/>
      <c r="J6" s="772"/>
      <c r="K6" s="4"/>
      <c r="L6" s="771"/>
      <c r="M6" s="772"/>
      <c r="N6" s="4"/>
      <c r="O6" s="771"/>
      <c r="P6" s="772"/>
      <c r="Q6" s="9"/>
      <c r="R6" s="1"/>
      <c r="V6" s="782"/>
      <c r="W6" s="783"/>
      <c r="Z6" s="2"/>
    </row>
    <row r="7" spans="1:26" ht="13.9" customHeight="1" thickBot="1">
      <c r="A7" s="1"/>
      <c r="B7" s="8"/>
      <c r="C7" s="773"/>
      <c r="D7" s="774"/>
      <c r="E7" s="4"/>
      <c r="F7" s="773"/>
      <c r="G7" s="774"/>
      <c r="H7" s="15"/>
      <c r="I7" s="773"/>
      <c r="J7" s="774"/>
      <c r="K7" s="4"/>
      <c r="L7" s="773"/>
      <c r="M7" s="774"/>
      <c r="N7" s="4"/>
      <c r="O7" s="773"/>
      <c r="P7" s="774"/>
      <c r="Q7" s="9"/>
      <c r="R7" s="1"/>
      <c r="V7" s="784"/>
      <c r="W7" s="785"/>
      <c r="Z7" s="2"/>
    </row>
    <row r="8" spans="1:26" ht="13.9" customHeight="1" thickTop="1">
      <c r="A8" s="1"/>
      <c r="B8" s="353"/>
      <c r="C8" s="775" t="s">
        <v>2</v>
      </c>
      <c r="D8" s="775"/>
      <c r="E8" s="351"/>
      <c r="F8" s="775" t="s">
        <v>177</v>
      </c>
      <c r="G8" s="775"/>
      <c r="H8" s="354"/>
      <c r="I8" s="775" t="s">
        <v>3</v>
      </c>
      <c r="J8" s="775"/>
      <c r="K8" s="351"/>
      <c r="L8" s="775" t="s">
        <v>4</v>
      </c>
      <c r="M8" s="775"/>
      <c r="N8" s="351"/>
      <c r="O8" s="776" t="s">
        <v>376</v>
      </c>
      <c r="P8" s="776"/>
      <c r="Q8" s="9"/>
      <c r="R8" s="1"/>
      <c r="V8" s="784"/>
      <c r="W8" s="785"/>
      <c r="Z8" s="2"/>
    </row>
    <row r="9" spans="1:26" ht="13.9" customHeight="1" thickBot="1">
      <c r="A9" s="1"/>
      <c r="B9" s="10"/>
      <c r="C9" s="11"/>
      <c r="D9" s="11"/>
      <c r="E9" s="11"/>
      <c r="F9" s="55"/>
      <c r="G9" s="55"/>
      <c r="H9" s="55"/>
      <c r="I9" s="11"/>
      <c r="J9" s="11"/>
      <c r="K9" s="11"/>
      <c r="L9" s="11"/>
      <c r="M9" s="11"/>
      <c r="N9" s="11"/>
      <c r="O9" s="108"/>
      <c r="P9" s="107"/>
      <c r="Q9" s="12"/>
      <c r="R9" s="1"/>
      <c r="V9" s="786"/>
      <c r="W9" s="787"/>
      <c r="Z9" s="2"/>
    </row>
    <row r="10" spans="1:26" ht="23.45" customHeight="1" thickTop="1" thickBot="1">
      <c r="A10" s="1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1"/>
      <c r="R10" s="1"/>
      <c r="V10" s="788"/>
      <c r="W10" s="788"/>
      <c r="Z10" s="2"/>
    </row>
    <row r="11" spans="1:26" ht="13.9" customHeight="1" thickTop="1" thickBot="1">
      <c r="A11" s="1"/>
      <c r="B11" s="5"/>
      <c r="C11" s="105"/>
      <c r="D11" s="6"/>
      <c r="E11" s="6"/>
      <c r="F11" s="6"/>
      <c r="G11" s="6"/>
      <c r="H11" s="6"/>
      <c r="I11" s="6"/>
      <c r="J11" s="6"/>
      <c r="K11" s="6"/>
      <c r="L11" s="105"/>
      <c r="M11" s="6"/>
      <c r="N11" s="6"/>
      <c r="O11" s="6"/>
      <c r="P11" s="6"/>
      <c r="Q11" s="7"/>
      <c r="R11" s="1"/>
      <c r="V11" s="789"/>
      <c r="W11" s="789"/>
      <c r="Z11" s="2"/>
    </row>
    <row r="12" spans="1:26" ht="13.9" customHeight="1" thickTop="1">
      <c r="A12" s="1"/>
      <c r="B12" s="8"/>
      <c r="C12" s="769"/>
      <c r="D12" s="770"/>
      <c r="E12" s="4"/>
      <c r="F12" s="769"/>
      <c r="G12" s="770"/>
      <c r="H12" s="4"/>
      <c r="I12" s="769"/>
      <c r="J12" s="770"/>
      <c r="K12" s="4"/>
      <c r="L12" s="769"/>
      <c r="M12" s="770"/>
      <c r="N12" s="4"/>
      <c r="O12" s="769"/>
      <c r="P12" s="770"/>
      <c r="Q12" s="9"/>
      <c r="R12" s="1"/>
      <c r="Z12" s="2"/>
    </row>
    <row r="13" spans="1:26" ht="13.9" customHeight="1">
      <c r="A13" s="1"/>
      <c r="B13" s="8"/>
      <c r="C13" s="771"/>
      <c r="D13" s="772"/>
      <c r="E13" s="4"/>
      <c r="F13" s="771"/>
      <c r="G13" s="772"/>
      <c r="H13" s="15"/>
      <c r="I13" s="771"/>
      <c r="J13" s="772"/>
      <c r="K13" s="4"/>
      <c r="L13" s="771"/>
      <c r="M13" s="772"/>
      <c r="N13" s="4"/>
      <c r="O13" s="771"/>
      <c r="P13" s="772"/>
      <c r="Q13" s="9"/>
      <c r="R13" s="1"/>
      <c r="Z13" s="2"/>
    </row>
    <row r="14" spans="1:26" ht="13.9" customHeight="1">
      <c r="A14" s="1"/>
      <c r="B14" s="8"/>
      <c r="C14" s="771"/>
      <c r="D14" s="772"/>
      <c r="E14" s="4"/>
      <c r="F14" s="771"/>
      <c r="G14" s="772"/>
      <c r="H14" s="15"/>
      <c r="I14" s="771"/>
      <c r="J14" s="772"/>
      <c r="K14" s="19"/>
      <c r="L14" s="771"/>
      <c r="M14" s="772"/>
      <c r="N14" s="4"/>
      <c r="O14" s="771"/>
      <c r="P14" s="772"/>
      <c r="Q14" s="9"/>
      <c r="R14" s="1"/>
      <c r="Z14" s="2"/>
    </row>
    <row r="15" spans="1:26" ht="13.9" customHeight="1" thickBot="1">
      <c r="A15" s="1"/>
      <c r="B15" s="8"/>
      <c r="C15" s="773"/>
      <c r="D15" s="774"/>
      <c r="E15" s="4"/>
      <c r="F15" s="773"/>
      <c r="G15" s="774"/>
      <c r="H15" s="15"/>
      <c r="I15" s="773"/>
      <c r="J15" s="774"/>
      <c r="K15" s="19"/>
      <c r="L15" s="773"/>
      <c r="M15" s="774"/>
      <c r="N15" s="4"/>
      <c r="O15" s="773"/>
      <c r="P15" s="774"/>
      <c r="Q15" s="9"/>
      <c r="R15" s="1"/>
      <c r="Z15" s="2"/>
    </row>
    <row r="16" spans="1:26" ht="13.9" customHeight="1" thickTop="1">
      <c r="A16" s="1"/>
      <c r="B16" s="353"/>
      <c r="C16" s="775" t="s">
        <v>2</v>
      </c>
      <c r="D16" s="775"/>
      <c r="E16" s="351"/>
      <c r="F16" s="775" t="s">
        <v>43</v>
      </c>
      <c r="G16" s="775"/>
      <c r="H16" s="354"/>
      <c r="I16" s="775" t="s">
        <v>376</v>
      </c>
      <c r="J16" s="775"/>
      <c r="K16" s="351"/>
      <c r="L16" s="790"/>
      <c r="M16" s="791"/>
      <c r="N16" s="351"/>
      <c r="O16" s="779" t="s">
        <v>377</v>
      </c>
      <c r="P16" s="779"/>
      <c r="Q16" s="9"/>
      <c r="R16" s="1"/>
      <c r="Z16" s="2"/>
    </row>
    <row r="17" spans="1:26" ht="13.9" customHeight="1" thickBot="1">
      <c r="A17" s="1"/>
      <c r="B17" s="355"/>
      <c r="C17" s="781"/>
      <c r="D17" s="781"/>
      <c r="E17" s="352"/>
      <c r="F17" s="781"/>
      <c r="G17" s="781"/>
      <c r="H17" s="356"/>
      <c r="I17" s="781"/>
      <c r="J17" s="781"/>
      <c r="K17" s="357"/>
      <c r="L17" s="792"/>
      <c r="M17" s="792"/>
      <c r="N17" s="352"/>
      <c r="O17" s="780"/>
      <c r="P17" s="780"/>
      <c r="Q17" s="12"/>
      <c r="R17" s="1"/>
      <c r="Z17" s="2"/>
    </row>
    <row r="18" spans="1:26" ht="25.9" customHeight="1" thickTop="1" thickBot="1">
      <c r="A18" s="1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1"/>
      <c r="R18" s="1"/>
      <c r="Z18" s="2"/>
    </row>
    <row r="19" spans="1:26" ht="16.5" thickTop="1" thickBot="1">
      <c r="A19" s="1"/>
      <c r="B19" s="5"/>
      <c r="C19" s="6"/>
      <c r="D19" s="6"/>
      <c r="E19" s="6"/>
      <c r="F19" s="6"/>
      <c r="G19" s="6"/>
      <c r="H19" s="6"/>
      <c r="I19" s="6"/>
      <c r="J19" s="6"/>
      <c r="K19" s="367"/>
      <c r="L19" s="367"/>
      <c r="M19" s="329"/>
      <c r="N19" s="329"/>
      <c r="O19" s="329"/>
      <c r="P19" s="4"/>
      <c r="Q19" s="1"/>
      <c r="R19" s="1"/>
      <c r="Z19" s="2"/>
    </row>
    <row r="20" spans="1:26" ht="15.75" thickTop="1">
      <c r="A20" s="1"/>
      <c r="B20" s="8"/>
      <c r="C20" s="769"/>
      <c r="D20" s="770"/>
      <c r="E20" s="102"/>
      <c r="F20" s="769"/>
      <c r="G20" s="770"/>
      <c r="H20" s="515"/>
      <c r="I20" s="769"/>
      <c r="J20" s="770"/>
      <c r="K20" s="367"/>
      <c r="L20" s="15"/>
      <c r="M20" s="15"/>
      <c r="N20" s="329"/>
      <c r="O20" s="329"/>
      <c r="P20" s="4"/>
      <c r="Q20" s="1"/>
      <c r="R20" s="1"/>
      <c r="Z20" s="2"/>
    </row>
    <row r="21" spans="1:26">
      <c r="A21" s="1"/>
      <c r="B21" s="8"/>
      <c r="C21" s="771"/>
      <c r="D21" s="772"/>
      <c r="E21" s="102"/>
      <c r="F21" s="771"/>
      <c r="G21" s="772"/>
      <c r="H21" s="515"/>
      <c r="I21" s="771"/>
      <c r="J21" s="772"/>
      <c r="K21" s="367"/>
      <c r="L21" s="15"/>
      <c r="M21" s="15"/>
      <c r="N21" s="329"/>
      <c r="O21" s="329"/>
      <c r="P21" s="4"/>
      <c r="Q21" s="1"/>
      <c r="R21" s="1"/>
      <c r="Z21" s="2"/>
    </row>
    <row r="22" spans="1:26" ht="15" customHeight="1">
      <c r="A22" s="1"/>
      <c r="B22" s="8"/>
      <c r="C22" s="771"/>
      <c r="D22" s="772"/>
      <c r="E22" s="102"/>
      <c r="F22" s="771"/>
      <c r="G22" s="772"/>
      <c r="H22" s="515"/>
      <c r="I22" s="771"/>
      <c r="J22" s="772"/>
      <c r="K22" s="371"/>
      <c r="L22" s="371"/>
      <c r="M22" s="15"/>
      <c r="N22" s="378"/>
      <c r="O22" s="329"/>
      <c r="P22" s="4"/>
      <c r="Q22" s="1"/>
      <c r="R22" s="1"/>
      <c r="Z22" s="2"/>
    </row>
    <row r="23" spans="1:26" ht="15" customHeight="1" thickBot="1">
      <c r="A23" s="1"/>
      <c r="B23" s="8"/>
      <c r="C23" s="773"/>
      <c r="D23" s="774"/>
      <c r="E23" s="102"/>
      <c r="F23" s="773"/>
      <c r="G23" s="774"/>
      <c r="H23" s="515"/>
      <c r="I23" s="773"/>
      <c r="J23" s="774"/>
      <c r="K23" s="371"/>
      <c r="L23" s="371"/>
      <c r="M23" s="15"/>
      <c r="N23" s="378"/>
      <c r="O23" s="329"/>
      <c r="P23" s="4"/>
      <c r="Q23" s="1"/>
      <c r="R23" s="1"/>
      <c r="Z23" s="2"/>
    </row>
    <row r="24" spans="1:26" ht="15" customHeight="1" thickTop="1">
      <c r="A24" s="1"/>
      <c r="B24" s="8"/>
      <c r="C24" s="777" t="s">
        <v>88</v>
      </c>
      <c r="D24" s="777"/>
      <c r="E24" s="351"/>
      <c r="F24" s="779" t="s">
        <v>378</v>
      </c>
      <c r="G24" s="779"/>
      <c r="H24" s="351"/>
      <c r="I24" s="779" t="s">
        <v>377</v>
      </c>
      <c r="J24" s="779"/>
      <c r="K24" s="367"/>
      <c r="L24" s="343"/>
      <c r="M24" s="343"/>
      <c r="N24" s="329"/>
      <c r="O24" s="329"/>
      <c r="P24" s="1"/>
      <c r="Q24" s="1"/>
      <c r="R24" s="1"/>
      <c r="Z24" s="2"/>
    </row>
    <row r="25" spans="1:26" ht="15" customHeight="1" thickBot="1">
      <c r="A25" s="1"/>
      <c r="B25" s="10"/>
      <c r="C25" s="778"/>
      <c r="D25" s="778"/>
      <c r="E25" s="352"/>
      <c r="F25" s="780"/>
      <c r="G25" s="780"/>
      <c r="H25" s="352"/>
      <c r="I25" s="780"/>
      <c r="J25" s="780"/>
      <c r="K25" s="367"/>
      <c r="L25" s="343"/>
      <c r="M25" s="343"/>
      <c r="N25" s="329"/>
      <c r="O25" s="329"/>
      <c r="P25" s="1"/>
      <c r="Q25" s="1"/>
      <c r="R25" s="1"/>
      <c r="Z25" s="2"/>
    </row>
    <row r="26" spans="1:26" ht="15.75" thickTop="1">
      <c r="A26" s="1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"/>
      <c r="Z26" s="2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</sheetData>
  <mergeCells count="30">
    <mergeCell ref="I20:J23"/>
    <mergeCell ref="I24:J25"/>
    <mergeCell ref="V6:W9"/>
    <mergeCell ref="V10:W11"/>
    <mergeCell ref="I12:J15"/>
    <mergeCell ref="L16:M17"/>
    <mergeCell ref="O16:P17"/>
    <mergeCell ref="I16:J17"/>
    <mergeCell ref="C24:D25"/>
    <mergeCell ref="F24:G25"/>
    <mergeCell ref="C20:D23"/>
    <mergeCell ref="F20:G23"/>
    <mergeCell ref="F16:G17"/>
    <mergeCell ref="C16:D17"/>
    <mergeCell ref="O2:P2"/>
    <mergeCell ref="B2:D2"/>
    <mergeCell ref="C4:D7"/>
    <mergeCell ref="C12:D15"/>
    <mergeCell ref="L4:M7"/>
    <mergeCell ref="L12:M15"/>
    <mergeCell ref="O4:P7"/>
    <mergeCell ref="O12:P15"/>
    <mergeCell ref="C8:D8"/>
    <mergeCell ref="F8:G8"/>
    <mergeCell ref="I8:J8"/>
    <mergeCell ref="L8:M8"/>
    <mergeCell ref="O8:P8"/>
    <mergeCell ref="F4:G7"/>
    <mergeCell ref="F12:G15"/>
    <mergeCell ref="I4:J7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9"/>
  <sheetViews>
    <sheetView workbookViewId="0">
      <selection activeCell="H4" sqref="H4:K10"/>
    </sheetView>
  </sheetViews>
  <sheetFormatPr baseColWidth="10" defaultColWidth="8.85546875" defaultRowHeight="15"/>
  <cols>
    <col min="1" max="1" width="4" style="17" customWidth="1"/>
    <col min="2" max="17" width="7.7109375" style="17" customWidth="1"/>
    <col min="18" max="18" width="4.5703125" style="17" customWidth="1"/>
    <col min="19" max="25" width="8.85546875" style="16"/>
    <col min="26" max="16384" width="8.85546875" style="17"/>
  </cols>
  <sheetData>
    <row r="1" spans="1:26">
      <c r="A1" s="367"/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422"/>
      <c r="M1" s="422"/>
      <c r="N1" s="367"/>
      <c r="O1" s="367"/>
      <c r="P1" s="367"/>
      <c r="Q1" s="367"/>
      <c r="R1" s="367"/>
    </row>
    <row r="2" spans="1:26" ht="18" customHeight="1">
      <c r="A2" s="367"/>
      <c r="B2" s="370"/>
      <c r="C2" s="370"/>
      <c r="D2" s="370"/>
      <c r="E2" s="367"/>
      <c r="F2" s="367"/>
      <c r="G2" s="367"/>
      <c r="H2" s="367"/>
      <c r="I2" s="367"/>
      <c r="J2" s="367"/>
      <c r="K2" s="367"/>
      <c r="L2" s="422"/>
      <c r="M2" s="422"/>
      <c r="N2" s="367"/>
      <c r="O2" s="15"/>
      <c r="P2" s="15"/>
      <c r="Q2" s="103"/>
      <c r="R2" s="103"/>
    </row>
    <row r="3" spans="1:26" ht="13.9" customHeight="1" thickBot="1">
      <c r="A3" s="367"/>
      <c r="B3" s="367"/>
      <c r="C3" s="101"/>
      <c r="D3" s="367"/>
      <c r="E3" s="367"/>
      <c r="F3" s="367"/>
      <c r="G3" s="367"/>
      <c r="H3" s="367"/>
      <c r="I3" s="367"/>
      <c r="J3" s="101"/>
      <c r="K3" s="367"/>
      <c r="L3" s="422"/>
      <c r="M3" s="422"/>
      <c r="N3" s="367"/>
      <c r="O3" s="367"/>
      <c r="P3" s="367"/>
      <c r="Q3" s="367"/>
      <c r="R3" s="367"/>
    </row>
    <row r="4" spans="1:26" ht="13.9" customHeight="1">
      <c r="A4" s="367"/>
      <c r="B4" s="367"/>
      <c r="C4" s="758" t="s">
        <v>253</v>
      </c>
      <c r="D4" s="759"/>
      <c r="E4" s="759"/>
      <c r="F4" s="760"/>
      <c r="G4" s="15"/>
      <c r="H4" s="758" t="s">
        <v>250</v>
      </c>
      <c r="I4" s="759"/>
      <c r="J4" s="759"/>
      <c r="K4" s="760"/>
      <c r="L4" s="423"/>
      <c r="M4" s="758" t="s">
        <v>309</v>
      </c>
      <c r="N4" s="759"/>
      <c r="O4" s="759"/>
      <c r="P4" s="760"/>
      <c r="Q4" s="367"/>
      <c r="R4" s="367"/>
      <c r="Z4" s="16"/>
    </row>
    <row r="5" spans="1:26" ht="13.9" customHeight="1">
      <c r="A5" s="367"/>
      <c r="B5" s="367"/>
      <c r="C5" s="761"/>
      <c r="D5" s="762"/>
      <c r="E5" s="762"/>
      <c r="F5" s="763"/>
      <c r="G5" s="15"/>
      <c r="H5" s="761"/>
      <c r="I5" s="762"/>
      <c r="J5" s="762"/>
      <c r="K5" s="763"/>
      <c r="L5" s="423"/>
      <c r="M5" s="761"/>
      <c r="N5" s="762"/>
      <c r="O5" s="762"/>
      <c r="P5" s="763"/>
      <c r="Q5" s="367"/>
      <c r="R5" s="367"/>
      <c r="Z5" s="16"/>
    </row>
    <row r="6" spans="1:26" ht="13.9" customHeight="1">
      <c r="A6" s="367"/>
      <c r="B6" s="367"/>
      <c r="C6" s="761"/>
      <c r="D6" s="762"/>
      <c r="E6" s="762"/>
      <c r="F6" s="763"/>
      <c r="G6" s="15"/>
      <c r="H6" s="761"/>
      <c r="I6" s="762"/>
      <c r="J6" s="762"/>
      <c r="K6" s="763"/>
      <c r="L6" s="423"/>
      <c r="M6" s="761"/>
      <c r="N6" s="762"/>
      <c r="O6" s="762"/>
      <c r="P6" s="763"/>
      <c r="Q6" s="367"/>
      <c r="R6" s="367"/>
      <c r="V6" s="77"/>
      <c r="W6" s="77"/>
      <c r="Z6" s="16"/>
    </row>
    <row r="7" spans="1:26" ht="13.9" customHeight="1">
      <c r="A7" s="367"/>
      <c r="B7" s="367"/>
      <c r="C7" s="761"/>
      <c r="D7" s="762"/>
      <c r="E7" s="762"/>
      <c r="F7" s="763"/>
      <c r="G7" s="15"/>
      <c r="H7" s="761"/>
      <c r="I7" s="762"/>
      <c r="J7" s="762"/>
      <c r="K7" s="763"/>
      <c r="L7" s="423"/>
      <c r="M7" s="761"/>
      <c r="N7" s="762"/>
      <c r="O7" s="762"/>
      <c r="P7" s="763"/>
      <c r="Q7" s="367"/>
      <c r="R7" s="367"/>
      <c r="V7" s="77"/>
      <c r="W7" s="77"/>
      <c r="Z7" s="16"/>
    </row>
    <row r="8" spans="1:26" ht="13.9" customHeight="1">
      <c r="A8" s="367"/>
      <c r="B8" s="351"/>
      <c r="C8" s="761"/>
      <c r="D8" s="762"/>
      <c r="E8" s="762"/>
      <c r="F8" s="763"/>
      <c r="G8" s="371"/>
      <c r="H8" s="761"/>
      <c r="I8" s="762"/>
      <c r="J8" s="762"/>
      <c r="K8" s="763"/>
      <c r="L8" s="423"/>
      <c r="M8" s="761"/>
      <c r="N8" s="762"/>
      <c r="O8" s="762"/>
      <c r="P8" s="763"/>
      <c r="Q8" s="367"/>
      <c r="R8" s="367"/>
      <c r="V8" s="77"/>
      <c r="W8" s="77"/>
      <c r="Z8" s="16"/>
    </row>
    <row r="9" spans="1:26" ht="13.9" customHeight="1">
      <c r="A9" s="367"/>
      <c r="B9" s="367"/>
      <c r="C9" s="761"/>
      <c r="D9" s="762"/>
      <c r="E9" s="762"/>
      <c r="F9" s="763"/>
      <c r="G9" s="367"/>
      <c r="H9" s="761"/>
      <c r="I9" s="762"/>
      <c r="J9" s="762"/>
      <c r="K9" s="763"/>
      <c r="L9" s="423"/>
      <c r="M9" s="761"/>
      <c r="N9" s="762"/>
      <c r="O9" s="762"/>
      <c r="P9" s="763"/>
      <c r="Q9" s="367"/>
      <c r="R9" s="367"/>
      <c r="V9" s="77"/>
      <c r="W9" s="77"/>
      <c r="Z9" s="16"/>
    </row>
    <row r="10" spans="1:26" ht="23.45" customHeight="1" thickBot="1">
      <c r="A10" s="367"/>
      <c r="B10" s="367"/>
      <c r="C10" s="764"/>
      <c r="D10" s="765"/>
      <c r="E10" s="765"/>
      <c r="F10" s="766"/>
      <c r="G10" s="367"/>
      <c r="H10" s="764"/>
      <c r="I10" s="765"/>
      <c r="J10" s="765"/>
      <c r="K10" s="766"/>
      <c r="L10" s="423"/>
      <c r="M10" s="764"/>
      <c r="N10" s="765"/>
      <c r="O10" s="765"/>
      <c r="P10" s="766"/>
      <c r="Q10" s="367"/>
      <c r="R10" s="367"/>
      <c r="V10" s="373"/>
      <c r="W10" s="373"/>
      <c r="Z10" s="16"/>
    </row>
    <row r="11" spans="1:26" ht="13.9" customHeight="1">
      <c r="A11" s="367"/>
      <c r="B11" s="367"/>
      <c r="C11" s="101"/>
      <c r="D11" s="367"/>
      <c r="E11" s="367"/>
      <c r="F11" s="367"/>
      <c r="G11" s="367"/>
      <c r="H11" s="367"/>
      <c r="I11" s="367"/>
      <c r="J11" s="101"/>
      <c r="K11" s="367"/>
      <c r="L11" s="422"/>
      <c r="M11" s="422"/>
      <c r="N11" s="367"/>
      <c r="O11" s="367"/>
      <c r="P11" s="367"/>
      <c r="Q11" s="367"/>
      <c r="R11" s="367"/>
      <c r="V11" s="373"/>
      <c r="W11" s="373"/>
      <c r="Z11" s="16"/>
    </row>
    <row r="12" spans="1:26" ht="13.9" customHeight="1">
      <c r="A12" s="367"/>
      <c r="B12" s="367"/>
      <c r="C12" s="15"/>
      <c r="D12" s="15"/>
      <c r="E12" s="367"/>
      <c r="F12" s="15"/>
      <c r="G12" s="15"/>
      <c r="H12" s="15"/>
      <c r="I12" s="367"/>
      <c r="J12" s="15"/>
      <c r="K12" s="15"/>
      <c r="L12" s="15"/>
      <c r="M12" s="15"/>
      <c r="N12" s="367"/>
      <c r="O12" s="15"/>
      <c r="P12" s="15"/>
      <c r="Q12" s="367"/>
      <c r="R12" s="367"/>
      <c r="Z12" s="16"/>
    </row>
    <row r="13" spans="1:26" ht="13.9" customHeight="1" thickBot="1">
      <c r="A13" s="367"/>
      <c r="B13" s="367"/>
      <c r="C13" s="15"/>
      <c r="D13" s="15"/>
      <c r="E13" s="367"/>
      <c r="F13" s="15"/>
      <c r="G13" s="15"/>
      <c r="H13" s="15"/>
      <c r="I13" s="367"/>
      <c r="J13" s="15"/>
      <c r="K13" s="15"/>
      <c r="L13" s="15"/>
      <c r="M13" s="15"/>
      <c r="N13" s="367"/>
      <c r="O13" s="15"/>
      <c r="P13" s="15"/>
      <c r="Q13" s="367"/>
      <c r="R13" s="367"/>
      <c r="Z13" s="16"/>
    </row>
    <row r="14" spans="1:26" ht="13.9" customHeight="1">
      <c r="A14" s="367"/>
      <c r="B14" s="367"/>
      <c r="C14" s="758" t="s">
        <v>251</v>
      </c>
      <c r="D14" s="759"/>
      <c r="E14" s="759"/>
      <c r="F14" s="760"/>
      <c r="G14" s="15"/>
      <c r="H14" s="758" t="s">
        <v>252</v>
      </c>
      <c r="I14" s="759"/>
      <c r="J14" s="759"/>
      <c r="K14" s="760"/>
      <c r="L14" s="423"/>
      <c r="M14" s="423"/>
      <c r="N14" s="367"/>
      <c r="O14" s="15"/>
      <c r="P14" s="15"/>
      <c r="Q14" s="367"/>
      <c r="R14" s="367"/>
      <c r="Z14" s="16"/>
    </row>
    <row r="15" spans="1:26" ht="13.9" customHeight="1">
      <c r="A15" s="367"/>
      <c r="B15" s="367"/>
      <c r="C15" s="761"/>
      <c r="D15" s="762"/>
      <c r="E15" s="762"/>
      <c r="F15" s="763"/>
      <c r="G15" s="15"/>
      <c r="H15" s="761"/>
      <c r="I15" s="762"/>
      <c r="J15" s="762"/>
      <c r="K15" s="763"/>
      <c r="L15" s="423"/>
      <c r="M15" s="423"/>
      <c r="N15" s="367"/>
      <c r="O15" s="15"/>
      <c r="P15" s="15"/>
      <c r="Q15" s="367"/>
      <c r="R15" s="367"/>
      <c r="Z15" s="16"/>
    </row>
    <row r="16" spans="1:26" ht="13.9" customHeight="1">
      <c r="A16" s="367"/>
      <c r="B16" s="351"/>
      <c r="C16" s="761"/>
      <c r="D16" s="762"/>
      <c r="E16" s="762"/>
      <c r="F16" s="763"/>
      <c r="G16" s="371"/>
      <c r="H16" s="761"/>
      <c r="I16" s="762"/>
      <c r="J16" s="762"/>
      <c r="K16" s="763"/>
      <c r="L16" s="423"/>
      <c r="M16" s="423"/>
      <c r="N16" s="351"/>
      <c r="O16" s="343"/>
      <c r="P16" s="343"/>
      <c r="Q16" s="367"/>
      <c r="R16" s="367"/>
      <c r="Z16" s="16"/>
    </row>
    <row r="17" spans="1:26" ht="13.9" customHeight="1">
      <c r="A17" s="367"/>
      <c r="B17" s="351"/>
      <c r="C17" s="761"/>
      <c r="D17" s="762"/>
      <c r="E17" s="762"/>
      <c r="F17" s="763"/>
      <c r="G17" s="371"/>
      <c r="H17" s="761"/>
      <c r="I17" s="762"/>
      <c r="J17" s="762"/>
      <c r="K17" s="763"/>
      <c r="L17" s="423"/>
      <c r="M17" s="423"/>
      <c r="N17" s="351"/>
      <c r="O17" s="343"/>
      <c r="P17" s="343"/>
      <c r="Q17" s="367"/>
      <c r="R17" s="367"/>
      <c r="Z17" s="16"/>
    </row>
    <row r="18" spans="1:26" ht="25.9" customHeight="1">
      <c r="A18" s="367"/>
      <c r="B18" s="367"/>
      <c r="C18" s="761"/>
      <c r="D18" s="762"/>
      <c r="E18" s="762"/>
      <c r="F18" s="763"/>
      <c r="G18" s="367"/>
      <c r="H18" s="761"/>
      <c r="I18" s="762"/>
      <c r="J18" s="762"/>
      <c r="K18" s="763"/>
      <c r="L18" s="423"/>
      <c r="M18" s="423"/>
      <c r="N18" s="367"/>
      <c r="O18" s="367"/>
      <c r="P18" s="367"/>
      <c r="Q18" s="367"/>
      <c r="R18" s="367"/>
      <c r="Z18" s="16"/>
    </row>
    <row r="19" spans="1:26" ht="14.45" customHeight="1">
      <c r="A19" s="367"/>
      <c r="B19" s="367"/>
      <c r="C19" s="761"/>
      <c r="D19" s="762"/>
      <c r="E19" s="762"/>
      <c r="F19" s="763"/>
      <c r="G19" s="367"/>
      <c r="H19" s="761"/>
      <c r="I19" s="762"/>
      <c r="J19" s="762"/>
      <c r="K19" s="763"/>
      <c r="L19" s="423"/>
      <c r="M19" s="423"/>
      <c r="N19" s="367"/>
      <c r="O19" s="367"/>
      <c r="P19" s="367"/>
      <c r="Q19" s="367"/>
      <c r="R19" s="367"/>
      <c r="Z19" s="16"/>
    </row>
    <row r="20" spans="1:26" ht="14.45" customHeight="1" thickBot="1">
      <c r="A20" s="367"/>
      <c r="B20" s="367"/>
      <c r="C20" s="764"/>
      <c r="D20" s="765"/>
      <c r="E20" s="765"/>
      <c r="F20" s="766"/>
      <c r="G20" s="15"/>
      <c r="H20" s="764"/>
      <c r="I20" s="765"/>
      <c r="J20" s="765"/>
      <c r="K20" s="766"/>
      <c r="L20" s="423"/>
      <c r="M20" s="423"/>
      <c r="N20" s="367"/>
      <c r="O20" s="367"/>
      <c r="P20" s="367"/>
      <c r="Q20" s="367"/>
      <c r="R20" s="367"/>
      <c r="Z20" s="16"/>
    </row>
    <row r="21" spans="1:26" ht="14.45" customHeight="1">
      <c r="A21" s="367"/>
      <c r="B21" s="367"/>
      <c r="C21" s="15"/>
      <c r="D21" s="15"/>
      <c r="E21" s="367"/>
      <c r="F21" s="15"/>
      <c r="G21" s="15"/>
      <c r="H21" s="15"/>
      <c r="I21" s="367"/>
      <c r="J21" s="15"/>
      <c r="K21" s="15"/>
      <c r="L21" s="15"/>
      <c r="M21" s="15"/>
      <c r="N21" s="367"/>
      <c r="O21" s="367"/>
      <c r="P21" s="367"/>
      <c r="Q21" s="367"/>
      <c r="R21" s="367"/>
      <c r="Z21" s="16"/>
    </row>
    <row r="22" spans="1:26" ht="15" customHeight="1">
      <c r="A22" s="367"/>
      <c r="B22" s="367"/>
      <c r="C22" s="15"/>
      <c r="D22" s="15"/>
      <c r="E22" s="367"/>
      <c r="F22" s="15"/>
      <c r="G22" s="15"/>
      <c r="H22" s="15"/>
      <c r="I22" s="367"/>
      <c r="J22" s="15"/>
      <c r="K22" s="15"/>
      <c r="L22" s="15"/>
      <c r="M22" s="15"/>
      <c r="N22" s="367"/>
      <c r="O22" s="367"/>
      <c r="P22" s="367"/>
      <c r="Q22" s="367"/>
      <c r="R22" s="367"/>
      <c r="Z22" s="16"/>
    </row>
    <row r="23" spans="1:26" ht="26.25">
      <c r="A23" s="367"/>
      <c r="B23" s="367"/>
      <c r="C23" s="15"/>
      <c r="D23" s="15"/>
      <c r="E23" s="367"/>
      <c r="F23" s="15"/>
      <c r="G23" s="15"/>
      <c r="H23" s="429"/>
      <c r="I23" s="430"/>
      <c r="J23" s="433"/>
      <c r="K23" s="429"/>
      <c r="L23" s="429"/>
      <c r="M23" s="429"/>
      <c r="N23" s="367"/>
      <c r="O23" s="367"/>
      <c r="P23" s="367"/>
      <c r="Q23" s="367"/>
      <c r="R23" s="367"/>
      <c r="Z23" s="16"/>
    </row>
    <row r="24" spans="1:26" ht="15" customHeight="1">
      <c r="A24" s="367"/>
      <c r="B24" s="367"/>
      <c r="C24" s="371"/>
      <c r="D24" s="371"/>
      <c r="E24" s="351"/>
      <c r="F24" s="343"/>
      <c r="G24" s="343"/>
      <c r="H24" s="431"/>
      <c r="I24" s="432"/>
      <c r="J24" s="431"/>
      <c r="K24" s="431"/>
      <c r="L24" s="431"/>
      <c r="M24" s="431"/>
      <c r="N24" s="367"/>
      <c r="O24" s="367"/>
      <c r="P24" s="367"/>
      <c r="Q24" s="367"/>
      <c r="R24" s="367"/>
      <c r="Z24" s="16"/>
    </row>
    <row r="25" spans="1:26" ht="15" customHeight="1">
      <c r="A25" s="367"/>
      <c r="B25" s="367"/>
      <c r="C25" s="371"/>
      <c r="D25" s="371"/>
      <c r="E25" s="351"/>
      <c r="F25" s="343"/>
      <c r="G25" s="343"/>
      <c r="H25" s="431"/>
      <c r="I25" s="430"/>
      <c r="J25" s="431"/>
      <c r="K25" s="431"/>
      <c r="L25" s="431"/>
      <c r="M25" s="431"/>
      <c r="N25" s="367"/>
      <c r="O25" s="367"/>
      <c r="P25" s="367"/>
      <c r="Q25" s="367"/>
      <c r="R25" s="367"/>
      <c r="Z25" s="16"/>
    </row>
    <row r="26" spans="1:26" ht="14.45" customHeight="1">
      <c r="A26" s="367"/>
      <c r="B26" s="367"/>
      <c r="C26" s="367"/>
      <c r="D26" s="367"/>
      <c r="E26" s="367"/>
      <c r="F26" s="367"/>
      <c r="G26" s="422"/>
      <c r="H26" s="430"/>
      <c r="I26" s="430"/>
      <c r="J26" s="430"/>
      <c r="K26" s="430"/>
      <c r="L26" s="430"/>
      <c r="M26" s="430"/>
      <c r="N26" s="367"/>
      <c r="O26" s="367"/>
      <c r="P26" s="367"/>
      <c r="Q26" s="367"/>
      <c r="R26" s="367"/>
      <c r="Z26" s="16"/>
    </row>
    <row r="27" spans="1:26" ht="14.45" customHeight="1">
      <c r="A27" s="367"/>
      <c r="B27" s="367"/>
      <c r="C27" s="367"/>
      <c r="D27" s="367"/>
      <c r="E27" s="367"/>
      <c r="F27" s="367"/>
      <c r="G27" s="367"/>
      <c r="H27" s="430"/>
      <c r="I27" s="430"/>
      <c r="J27" s="430"/>
      <c r="K27" s="430"/>
      <c r="L27" s="430"/>
      <c r="M27" s="430"/>
      <c r="N27" s="367"/>
      <c r="O27" s="367"/>
      <c r="P27" s="367"/>
      <c r="Q27" s="367"/>
      <c r="R27" s="367"/>
      <c r="Z27" s="16"/>
    </row>
    <row r="28" spans="1:26" ht="14.4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Z28" s="16"/>
    </row>
    <row r="29" spans="1:26" ht="14.4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Z29" s="16"/>
    </row>
    <row r="30" spans="1:26" ht="1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26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26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1:18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1:18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1:18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</row>
    <row r="37" spans="1:18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</row>
    <row r="38" spans="1:1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</row>
    <row r="39" spans="1:18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</row>
  </sheetData>
  <mergeCells count="5">
    <mergeCell ref="M4:P10"/>
    <mergeCell ref="C4:F10"/>
    <mergeCell ref="H4:K10"/>
    <mergeCell ref="C14:F20"/>
    <mergeCell ref="H14:K20"/>
  </mergeCells>
  <hyperlinks>
    <hyperlink ref="C4:F10" location="Selection!A1" display="Hot suface"/>
    <hyperlink ref="H4:K10" location="'Fire protection '!A1" display="Fire protection "/>
    <hyperlink ref="C14:F20" location="TRaffic!A1" display="Traffic"/>
    <hyperlink ref="H14:K20" location="anyother!A1" display="any other safety issue "/>
    <hyperlink ref="M4:P10" location="Housekeeping!A1" display="Housekeeping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9"/>
  <sheetViews>
    <sheetView workbookViewId="0">
      <selection activeCell="G4" sqref="G4:J10"/>
    </sheetView>
  </sheetViews>
  <sheetFormatPr baseColWidth="10" defaultColWidth="8.85546875" defaultRowHeight="15"/>
  <cols>
    <col min="1" max="1" width="4" style="17" customWidth="1"/>
    <col min="2" max="17" width="7.7109375" style="17" customWidth="1"/>
    <col min="18" max="18" width="4.5703125" style="17" customWidth="1"/>
    <col min="19" max="25" width="8.85546875" style="16"/>
    <col min="26" max="16384" width="8.85546875" style="17"/>
  </cols>
  <sheetData>
    <row r="1" spans="1:26">
      <c r="A1" s="367"/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</row>
    <row r="2" spans="1:26" ht="18" customHeight="1">
      <c r="A2" s="367"/>
      <c r="B2" s="370"/>
      <c r="C2" s="370"/>
      <c r="D2" s="367"/>
      <c r="E2" s="367"/>
      <c r="F2" s="367"/>
      <c r="G2" s="367"/>
      <c r="H2" s="367"/>
      <c r="I2" s="367"/>
      <c r="J2" s="367"/>
      <c r="K2" s="367"/>
      <c r="L2" s="367"/>
      <c r="M2" s="367"/>
      <c r="N2" s="15"/>
      <c r="O2" s="15"/>
      <c r="P2" s="15"/>
      <c r="Q2" s="103"/>
      <c r="R2" s="103"/>
    </row>
    <row r="3" spans="1:26" ht="13.9" customHeight="1" thickBot="1">
      <c r="A3" s="367"/>
      <c r="B3" s="101"/>
      <c r="C3" s="367"/>
      <c r="D3" s="367"/>
      <c r="E3" s="367"/>
      <c r="F3" s="367"/>
      <c r="G3" s="367"/>
      <c r="H3" s="367"/>
      <c r="I3" s="101"/>
      <c r="J3" s="367"/>
      <c r="K3" s="367"/>
      <c r="L3" s="367"/>
      <c r="M3" s="367"/>
      <c r="N3" s="101"/>
      <c r="O3" s="367"/>
      <c r="P3" s="367"/>
      <c r="Q3" s="367"/>
      <c r="R3" s="367"/>
    </row>
    <row r="4" spans="1:26" ht="13.9" customHeight="1">
      <c r="A4" s="367"/>
      <c r="B4" s="758" t="s">
        <v>311</v>
      </c>
      <c r="C4" s="759"/>
      <c r="D4" s="759"/>
      <c r="E4" s="760"/>
      <c r="F4" s="15"/>
      <c r="G4" s="758" t="s">
        <v>312</v>
      </c>
      <c r="H4" s="759"/>
      <c r="I4" s="759"/>
      <c r="J4" s="760"/>
      <c r="K4" s="374"/>
      <c r="L4" s="758" t="s">
        <v>259</v>
      </c>
      <c r="M4" s="759"/>
      <c r="N4" s="759"/>
      <c r="O4" s="760"/>
      <c r="P4" s="374"/>
      <c r="Q4" s="367"/>
      <c r="R4" s="367"/>
      <c r="Z4" s="16"/>
    </row>
    <row r="5" spans="1:26" ht="13.9" customHeight="1">
      <c r="A5" s="367"/>
      <c r="B5" s="761"/>
      <c r="C5" s="762"/>
      <c r="D5" s="762"/>
      <c r="E5" s="763"/>
      <c r="F5" s="15"/>
      <c r="G5" s="761"/>
      <c r="H5" s="762"/>
      <c r="I5" s="762"/>
      <c r="J5" s="763"/>
      <c r="K5" s="374"/>
      <c r="L5" s="761"/>
      <c r="M5" s="762"/>
      <c r="N5" s="762"/>
      <c r="O5" s="763"/>
      <c r="P5" s="374"/>
      <c r="Q5" s="367"/>
      <c r="R5" s="367"/>
      <c r="Z5" s="16"/>
    </row>
    <row r="6" spans="1:26" ht="13.9" customHeight="1">
      <c r="A6" s="367"/>
      <c r="B6" s="761"/>
      <c r="C6" s="762"/>
      <c r="D6" s="762"/>
      <c r="E6" s="763"/>
      <c r="F6" s="15"/>
      <c r="G6" s="761"/>
      <c r="H6" s="762"/>
      <c r="I6" s="762"/>
      <c r="J6" s="763"/>
      <c r="K6" s="374"/>
      <c r="L6" s="761"/>
      <c r="M6" s="762"/>
      <c r="N6" s="762"/>
      <c r="O6" s="763"/>
      <c r="P6" s="374"/>
      <c r="Q6" s="367"/>
      <c r="R6" s="367"/>
      <c r="V6" s="77"/>
      <c r="W6" s="77"/>
      <c r="Z6" s="16"/>
    </row>
    <row r="7" spans="1:26" ht="13.9" customHeight="1">
      <c r="A7" s="367"/>
      <c r="B7" s="761"/>
      <c r="C7" s="762"/>
      <c r="D7" s="762"/>
      <c r="E7" s="763"/>
      <c r="F7" s="15"/>
      <c r="G7" s="761"/>
      <c r="H7" s="762"/>
      <c r="I7" s="762"/>
      <c r="J7" s="763"/>
      <c r="K7" s="374"/>
      <c r="L7" s="761"/>
      <c r="M7" s="762"/>
      <c r="N7" s="762"/>
      <c r="O7" s="763"/>
      <c r="P7" s="374"/>
      <c r="Q7" s="367"/>
      <c r="R7" s="367"/>
      <c r="V7" s="77"/>
      <c r="W7" s="77"/>
      <c r="Z7" s="16"/>
    </row>
    <row r="8" spans="1:26" ht="13.9" customHeight="1">
      <c r="A8" s="367"/>
      <c r="B8" s="761"/>
      <c r="C8" s="762"/>
      <c r="D8" s="762"/>
      <c r="E8" s="763"/>
      <c r="F8" s="371"/>
      <c r="G8" s="761"/>
      <c r="H8" s="762"/>
      <c r="I8" s="762"/>
      <c r="J8" s="763"/>
      <c r="K8" s="374"/>
      <c r="L8" s="761"/>
      <c r="M8" s="762"/>
      <c r="N8" s="762"/>
      <c r="O8" s="763"/>
      <c r="P8" s="374"/>
      <c r="Q8" s="367"/>
      <c r="R8" s="367"/>
      <c r="V8" s="77"/>
      <c r="W8" s="77"/>
      <c r="Z8" s="16"/>
    </row>
    <row r="9" spans="1:26" ht="13.9" customHeight="1">
      <c r="A9" s="367"/>
      <c r="B9" s="761"/>
      <c r="C9" s="762"/>
      <c r="D9" s="762"/>
      <c r="E9" s="763"/>
      <c r="F9" s="15"/>
      <c r="G9" s="761"/>
      <c r="H9" s="762"/>
      <c r="I9" s="762"/>
      <c r="J9" s="763"/>
      <c r="K9" s="374"/>
      <c r="L9" s="761"/>
      <c r="M9" s="762"/>
      <c r="N9" s="762"/>
      <c r="O9" s="763"/>
      <c r="P9" s="374"/>
      <c r="Q9" s="367"/>
      <c r="R9" s="367"/>
      <c r="V9" s="77"/>
      <c r="W9" s="77"/>
      <c r="Z9" s="16"/>
    </row>
    <row r="10" spans="1:26" ht="23.45" customHeight="1" thickBot="1">
      <c r="A10" s="367"/>
      <c r="B10" s="764"/>
      <c r="C10" s="765"/>
      <c r="D10" s="765"/>
      <c r="E10" s="766"/>
      <c r="F10" s="367"/>
      <c r="G10" s="764"/>
      <c r="H10" s="765"/>
      <c r="I10" s="765"/>
      <c r="J10" s="766"/>
      <c r="K10" s="374"/>
      <c r="L10" s="764"/>
      <c r="M10" s="765"/>
      <c r="N10" s="765"/>
      <c r="O10" s="766"/>
      <c r="P10" s="374"/>
      <c r="Q10" s="367"/>
      <c r="R10" s="367"/>
      <c r="V10" s="373"/>
      <c r="W10" s="373"/>
      <c r="Z10" s="16"/>
    </row>
    <row r="11" spans="1:26" ht="13.9" customHeight="1">
      <c r="A11" s="367"/>
      <c r="B11" s="101"/>
      <c r="C11" s="367"/>
      <c r="D11" s="367"/>
      <c r="E11" s="367"/>
      <c r="F11" s="367"/>
      <c r="G11" s="367"/>
      <c r="H11" s="367"/>
      <c r="I11" s="101"/>
      <c r="J11" s="367"/>
      <c r="K11" s="367"/>
      <c r="L11" s="367"/>
      <c r="M11" s="367"/>
      <c r="N11" s="101"/>
      <c r="O11" s="367"/>
      <c r="P11" s="367"/>
      <c r="Q11" s="367"/>
      <c r="R11" s="367"/>
      <c r="V11" s="373"/>
      <c r="W11" s="373"/>
      <c r="Z11" s="16"/>
    </row>
    <row r="12" spans="1:26" ht="13.9" customHeight="1">
      <c r="A12" s="367"/>
      <c r="B12" s="15"/>
      <c r="C12" s="15"/>
      <c r="D12" s="367"/>
      <c r="E12" s="15"/>
      <c r="F12" s="15"/>
      <c r="G12" s="15"/>
      <c r="H12" s="367"/>
      <c r="I12" s="15"/>
      <c r="J12" s="15"/>
      <c r="K12" s="15"/>
      <c r="L12" s="15"/>
      <c r="M12" s="367"/>
      <c r="N12" s="15"/>
      <c r="O12" s="15"/>
      <c r="P12" s="15"/>
      <c r="Q12" s="367"/>
      <c r="R12" s="367"/>
      <c r="Z12" s="16"/>
    </row>
    <row r="13" spans="1:26" ht="13.9" customHeight="1" thickBot="1">
      <c r="A13" s="367"/>
      <c r="B13" s="15"/>
      <c r="C13" s="15"/>
      <c r="D13" s="367"/>
      <c r="E13" s="15"/>
      <c r="F13" s="15"/>
      <c r="G13" s="15"/>
      <c r="H13" s="367"/>
      <c r="I13" s="15"/>
      <c r="J13" s="15"/>
      <c r="K13" s="15"/>
      <c r="L13" s="15"/>
      <c r="M13" s="367"/>
      <c r="N13" s="15"/>
      <c r="O13" s="15"/>
      <c r="P13" s="15"/>
      <c r="Q13" s="367"/>
      <c r="R13" s="367"/>
      <c r="Z13" s="16"/>
    </row>
    <row r="14" spans="1:26" ht="13.9" customHeight="1">
      <c r="A14" s="367"/>
      <c r="B14" s="758" t="s">
        <v>254</v>
      </c>
      <c r="C14" s="759"/>
      <c r="D14" s="759"/>
      <c r="E14" s="760"/>
      <c r="F14" s="15"/>
      <c r="G14" s="758" t="s">
        <v>257</v>
      </c>
      <c r="H14" s="759"/>
      <c r="I14" s="759"/>
      <c r="J14" s="760"/>
      <c r="K14" s="374"/>
      <c r="L14" s="758" t="s">
        <v>258</v>
      </c>
      <c r="M14" s="759"/>
      <c r="N14" s="759"/>
      <c r="O14" s="760"/>
      <c r="P14" s="374"/>
      <c r="Q14" s="367"/>
      <c r="R14" s="367"/>
      <c r="Z14" s="16"/>
    </row>
    <row r="15" spans="1:26" ht="13.9" customHeight="1">
      <c r="A15" s="367"/>
      <c r="B15" s="761"/>
      <c r="C15" s="762"/>
      <c r="D15" s="762"/>
      <c r="E15" s="763"/>
      <c r="F15" s="15"/>
      <c r="G15" s="761"/>
      <c r="H15" s="762"/>
      <c r="I15" s="762"/>
      <c r="J15" s="763"/>
      <c r="K15" s="374"/>
      <c r="L15" s="761"/>
      <c r="M15" s="762"/>
      <c r="N15" s="762"/>
      <c r="O15" s="763"/>
      <c r="P15" s="374"/>
      <c r="Q15" s="367"/>
      <c r="R15" s="367"/>
      <c r="Z15" s="16"/>
    </row>
    <row r="16" spans="1:26" ht="13.9" customHeight="1">
      <c r="A16" s="367"/>
      <c r="B16" s="761"/>
      <c r="C16" s="762"/>
      <c r="D16" s="762"/>
      <c r="E16" s="763"/>
      <c r="F16" s="371"/>
      <c r="G16" s="761"/>
      <c r="H16" s="762"/>
      <c r="I16" s="762"/>
      <c r="J16" s="763"/>
      <c r="K16" s="374"/>
      <c r="L16" s="761"/>
      <c r="M16" s="762"/>
      <c r="N16" s="762"/>
      <c r="O16" s="763"/>
      <c r="P16" s="374"/>
      <c r="Q16" s="367"/>
      <c r="R16" s="367"/>
      <c r="Z16" s="16"/>
    </row>
    <row r="17" spans="1:26" ht="13.9" customHeight="1">
      <c r="A17" s="367"/>
      <c r="B17" s="761"/>
      <c r="C17" s="762"/>
      <c r="D17" s="762"/>
      <c r="E17" s="763"/>
      <c r="F17" s="371"/>
      <c r="G17" s="761"/>
      <c r="H17" s="762"/>
      <c r="I17" s="762"/>
      <c r="J17" s="763"/>
      <c r="K17" s="374"/>
      <c r="L17" s="761"/>
      <c r="M17" s="762"/>
      <c r="N17" s="762"/>
      <c r="O17" s="763"/>
      <c r="P17" s="374"/>
      <c r="Q17" s="367"/>
      <c r="R17" s="367"/>
      <c r="Z17" s="16"/>
    </row>
    <row r="18" spans="1:26" ht="25.9" customHeight="1">
      <c r="A18" s="367"/>
      <c r="B18" s="761"/>
      <c r="C18" s="762"/>
      <c r="D18" s="762"/>
      <c r="E18" s="763"/>
      <c r="F18" s="367"/>
      <c r="G18" s="761"/>
      <c r="H18" s="762"/>
      <c r="I18" s="762"/>
      <c r="J18" s="763"/>
      <c r="K18" s="374"/>
      <c r="L18" s="761"/>
      <c r="M18" s="762"/>
      <c r="N18" s="762"/>
      <c r="O18" s="763"/>
      <c r="P18" s="374"/>
      <c r="Q18" s="367"/>
      <c r="R18" s="367"/>
      <c r="Z18" s="16"/>
    </row>
    <row r="19" spans="1:26" ht="14.45" customHeight="1">
      <c r="A19" s="367"/>
      <c r="B19" s="761"/>
      <c r="C19" s="762"/>
      <c r="D19" s="762"/>
      <c r="E19" s="763"/>
      <c r="F19" s="367"/>
      <c r="G19" s="761"/>
      <c r="H19" s="762"/>
      <c r="I19" s="762"/>
      <c r="J19" s="763"/>
      <c r="K19" s="374"/>
      <c r="L19" s="761"/>
      <c r="M19" s="762"/>
      <c r="N19" s="762"/>
      <c r="O19" s="763"/>
      <c r="P19" s="374"/>
      <c r="Q19" s="367"/>
      <c r="R19" s="367"/>
      <c r="Z19" s="16"/>
    </row>
    <row r="20" spans="1:26" ht="14.45" customHeight="1" thickBot="1">
      <c r="A20" s="367"/>
      <c r="B20" s="764"/>
      <c r="C20" s="765"/>
      <c r="D20" s="765"/>
      <c r="E20" s="766"/>
      <c r="F20" s="15"/>
      <c r="G20" s="764"/>
      <c r="H20" s="765"/>
      <c r="I20" s="765"/>
      <c r="J20" s="766"/>
      <c r="K20" s="374"/>
      <c r="L20" s="764"/>
      <c r="M20" s="765"/>
      <c r="N20" s="765"/>
      <c r="O20" s="766"/>
      <c r="P20" s="374"/>
      <c r="Q20" s="367"/>
      <c r="R20" s="367"/>
      <c r="Z20" s="16"/>
    </row>
    <row r="21" spans="1:26" ht="14.45" customHeight="1">
      <c r="A21" s="367"/>
      <c r="B21" s="15"/>
      <c r="C21" s="15"/>
      <c r="D21" s="367"/>
      <c r="E21" s="15"/>
      <c r="F21" s="15"/>
      <c r="G21" s="15"/>
      <c r="H21" s="367"/>
      <c r="I21" s="15"/>
      <c r="J21" s="15"/>
      <c r="K21" s="15"/>
      <c r="L21" s="15"/>
      <c r="M21" s="367"/>
      <c r="N21" s="15"/>
      <c r="O21" s="15"/>
      <c r="P21" s="15"/>
      <c r="Q21" s="367"/>
      <c r="R21" s="367"/>
      <c r="Z21" s="16"/>
    </row>
    <row r="22" spans="1:26" ht="15" customHeight="1">
      <c r="A22" s="367"/>
      <c r="B22" s="15"/>
      <c r="C22" s="15"/>
      <c r="D22" s="367"/>
      <c r="E22" s="15"/>
      <c r="F22" s="15"/>
      <c r="G22" s="15"/>
      <c r="H22" s="367"/>
      <c r="I22" s="15"/>
      <c r="J22" s="15"/>
      <c r="K22" s="15"/>
      <c r="L22" s="15"/>
      <c r="M22" s="367"/>
      <c r="N22" s="15"/>
      <c r="O22" s="15"/>
      <c r="P22" s="15"/>
      <c r="Q22" s="367"/>
      <c r="R22" s="367"/>
      <c r="Z22" s="16"/>
    </row>
    <row r="23" spans="1:26">
      <c r="A23" s="367"/>
      <c r="B23" s="15"/>
      <c r="C23" s="15"/>
      <c r="D23" s="367"/>
      <c r="E23" s="15"/>
      <c r="F23" s="15"/>
      <c r="G23" s="15"/>
      <c r="H23" s="367"/>
      <c r="I23" s="15"/>
      <c r="J23" s="15"/>
      <c r="K23" s="15"/>
      <c r="L23" s="15"/>
      <c r="M23" s="367"/>
      <c r="N23" s="367"/>
      <c r="O23" s="367"/>
      <c r="P23" s="367"/>
      <c r="Q23" s="367"/>
      <c r="R23" s="367"/>
      <c r="Z23" s="16"/>
    </row>
    <row r="24" spans="1:26" ht="15" customHeight="1">
      <c r="A24" s="367"/>
      <c r="B24" s="371"/>
      <c r="C24" s="371"/>
      <c r="D24" s="351"/>
      <c r="E24" s="343"/>
      <c r="F24" s="343"/>
      <c r="G24" s="343"/>
      <c r="H24" s="367"/>
      <c r="I24" s="343"/>
      <c r="J24" s="343"/>
      <c r="K24" s="343"/>
      <c r="L24" s="343"/>
      <c r="M24" s="367"/>
      <c r="N24" s="367"/>
      <c r="O24" s="367"/>
      <c r="P24" s="367"/>
      <c r="Q24" s="367"/>
      <c r="R24" s="367"/>
      <c r="Z24" s="16"/>
    </row>
    <row r="25" spans="1:26" ht="15" customHeight="1">
      <c r="A25" s="367"/>
      <c r="B25" s="371"/>
      <c r="C25" s="371"/>
      <c r="D25" s="351"/>
      <c r="E25" s="343"/>
      <c r="F25" s="343"/>
      <c r="G25" s="343"/>
      <c r="H25" s="367"/>
      <c r="I25" s="343"/>
      <c r="J25" s="343"/>
      <c r="K25" s="343"/>
      <c r="L25" s="343"/>
      <c r="M25" s="367"/>
      <c r="N25" s="367"/>
      <c r="O25" s="367"/>
      <c r="P25" s="367"/>
      <c r="Q25" s="367"/>
      <c r="R25" s="367"/>
      <c r="Z25" s="16"/>
    </row>
    <row r="26" spans="1:26">
      <c r="A26" s="367"/>
      <c r="B26" s="367"/>
      <c r="C26" s="367"/>
      <c r="D26" s="367"/>
      <c r="E26" s="367"/>
      <c r="F26" s="367"/>
      <c r="G26" s="367"/>
      <c r="H26" s="367"/>
      <c r="I26" s="367"/>
      <c r="J26" s="367"/>
      <c r="K26" s="367"/>
      <c r="L26" s="367"/>
      <c r="M26" s="367"/>
      <c r="N26" s="367"/>
      <c r="O26" s="367"/>
      <c r="P26" s="367"/>
      <c r="Q26" s="367"/>
      <c r="R26" s="367"/>
      <c r="Z26" s="16"/>
    </row>
    <row r="27" spans="1:26">
      <c r="A27" s="367"/>
      <c r="B27" s="367"/>
      <c r="C27" s="367"/>
      <c r="D27" s="367"/>
      <c r="E27" s="367"/>
      <c r="F27" s="367"/>
      <c r="G27" s="367"/>
      <c r="H27" s="367"/>
      <c r="I27" s="367"/>
      <c r="J27" s="367"/>
      <c r="K27" s="367"/>
      <c r="L27" s="367"/>
      <c r="M27" s="367"/>
      <c r="N27" s="367"/>
      <c r="O27" s="367"/>
      <c r="P27" s="367"/>
      <c r="Q27" s="367"/>
      <c r="R27" s="367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Z29" s="16"/>
    </row>
    <row r="30" spans="1:26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26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26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1:18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1:18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1:18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</row>
    <row r="37" spans="1:18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</row>
    <row r="38" spans="1:1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</row>
    <row r="39" spans="1:18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</row>
  </sheetData>
  <mergeCells count="6">
    <mergeCell ref="B4:E10"/>
    <mergeCell ref="G4:J10"/>
    <mergeCell ref="B14:E20"/>
    <mergeCell ref="G14:J20"/>
    <mergeCell ref="L4:O10"/>
    <mergeCell ref="L14:O20"/>
  </mergeCells>
  <hyperlinks>
    <hyperlink ref="B4:E10" location="Cladding!A1" display="Damaged insulation /cladding"/>
    <hyperlink ref="G4:J10" location="'Structure '!A1" display="Structural"/>
    <hyperlink ref="L4:O10" location="'Wet Ice'!A1" display="Ice blocks &amp; wet surfaces"/>
    <hyperlink ref="G14:J20" location="'Mechanical&amp;Electrical'!A1" display="'Mechanical&amp;Electrical'!A1"/>
    <hyperlink ref="L14:O20" location="'Mechanical&amp;Electrical'!A1" display="'Mechanical&amp;Electrical'!A1"/>
    <hyperlink ref="B14:E20" location="Leakage!A1" display="Leakage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A41"/>
  <sheetViews>
    <sheetView workbookViewId="0"/>
  </sheetViews>
  <sheetFormatPr baseColWidth="10" defaultColWidth="9.140625" defaultRowHeight="15"/>
  <cols>
    <col min="1" max="2" width="5.28515625" customWidth="1"/>
    <col min="6" max="6" width="5.5703125" customWidth="1"/>
    <col min="9" max="9" width="2.85546875" customWidth="1"/>
    <col min="14" max="14" width="4.28515625" customWidth="1"/>
    <col min="18" max="18" width="6.28515625" customWidth="1"/>
    <col min="19" max="20" width="5.7109375" customWidth="1"/>
    <col min="21" max="25" width="8.85546875" style="2"/>
    <col min="26" max="26" width="2.7109375" style="2" customWidth="1"/>
    <col min="27" max="27" width="8.85546875" style="2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6" ht="16.899999999999999" customHeight="1">
      <c r="A2" s="367"/>
      <c r="B2" s="746"/>
      <c r="C2" s="746"/>
      <c r="D2" s="747"/>
      <c r="E2" s="747"/>
      <c r="F2" s="747"/>
      <c r="G2" s="747"/>
      <c r="H2" s="746"/>
      <c r="I2" s="746"/>
      <c r="J2" s="746"/>
      <c r="K2" s="748"/>
      <c r="L2" s="748"/>
      <c r="M2" s="748"/>
      <c r="N2" s="367"/>
      <c r="O2" s="746"/>
      <c r="P2" s="746"/>
      <c r="Q2" s="743"/>
      <c r="R2" s="743"/>
      <c r="S2" s="103"/>
      <c r="T2" s="103"/>
    </row>
    <row r="3" spans="1:26" ht="6" customHeight="1">
      <c r="A3" s="367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367"/>
    </row>
    <row r="4" spans="1:26" ht="16.899999999999999" customHeight="1">
      <c r="A4" s="367"/>
      <c r="B4" s="15"/>
      <c r="C4" s="797" t="s">
        <v>15</v>
      </c>
      <c r="D4" s="797"/>
      <c r="E4" s="797"/>
      <c r="F4" s="797"/>
      <c r="G4" s="32"/>
      <c r="H4" s="798" t="s">
        <v>217</v>
      </c>
      <c r="I4" s="798"/>
      <c r="J4" s="798"/>
      <c r="K4" s="798"/>
      <c r="L4" s="799"/>
      <c r="M4" s="799"/>
      <c r="N4" s="799"/>
      <c r="O4" s="800"/>
      <c r="P4" s="800"/>
      <c r="Q4" s="32"/>
      <c r="R4" s="15"/>
      <c r="S4" s="15"/>
      <c r="T4" s="103"/>
    </row>
    <row r="5" spans="1:26" ht="13.9" customHeight="1">
      <c r="A5" s="367"/>
      <c r="B5" s="15"/>
      <c r="C5" s="797"/>
      <c r="D5" s="797"/>
      <c r="E5" s="797"/>
      <c r="F5" s="797"/>
      <c r="G5" s="32"/>
      <c r="H5" s="798"/>
      <c r="I5" s="798"/>
      <c r="J5" s="798"/>
      <c r="K5" s="798"/>
      <c r="L5" s="799"/>
      <c r="M5" s="799"/>
      <c r="N5" s="799"/>
      <c r="O5" s="800"/>
      <c r="P5" s="800"/>
      <c r="Q5" s="14"/>
      <c r="R5" s="15"/>
      <c r="S5" s="15"/>
      <c r="T5" s="367"/>
      <c r="W5" s="376"/>
      <c r="X5" s="110"/>
      <c r="Y5" s="110"/>
      <c r="Z5" s="110"/>
    </row>
    <row r="6" spans="1:26" ht="13.9" customHeight="1">
      <c r="A6" s="367"/>
      <c r="B6" s="15"/>
      <c r="C6" s="14"/>
      <c r="D6" s="369"/>
      <c r="E6" s="369"/>
      <c r="F6" s="369"/>
      <c r="G6" s="42"/>
      <c r="H6" s="276"/>
      <c r="I6" s="276"/>
      <c r="J6" s="276"/>
      <c r="K6" s="276"/>
      <c r="L6" s="14"/>
      <c r="M6" s="14"/>
      <c r="N6" s="14"/>
      <c r="O6" s="14"/>
      <c r="P6" s="14"/>
      <c r="Q6" s="14"/>
      <c r="R6" s="15"/>
      <c r="S6" s="15"/>
      <c r="T6" s="367"/>
      <c r="W6" s="110"/>
      <c r="X6" s="110"/>
      <c r="Y6" s="110"/>
      <c r="Z6" s="110"/>
    </row>
    <row r="7" spans="1:26" ht="13.9" customHeight="1">
      <c r="A7" s="367"/>
      <c r="B7" s="15"/>
      <c r="C7" s="14"/>
      <c r="D7" s="369"/>
      <c r="E7" s="369"/>
      <c r="F7" s="369"/>
      <c r="G7" s="42"/>
      <c r="H7" s="276"/>
      <c r="I7" s="276"/>
      <c r="J7" s="276"/>
      <c r="K7" s="276"/>
      <c r="L7" s="799"/>
      <c r="M7" s="799"/>
      <c r="N7" s="799"/>
      <c r="O7" s="801"/>
      <c r="P7" s="801"/>
      <c r="Q7" s="793"/>
      <c r="R7" s="15"/>
      <c r="S7" s="15"/>
      <c r="T7" s="367"/>
      <c r="W7" s="375"/>
      <c r="X7" s="375"/>
      <c r="Y7" s="375"/>
      <c r="Z7" s="110"/>
    </row>
    <row r="8" spans="1:26" ht="13.9" customHeight="1">
      <c r="A8" s="367"/>
      <c r="B8" s="15"/>
      <c r="C8" s="14"/>
      <c r="D8" s="369"/>
      <c r="E8" s="369"/>
      <c r="F8" s="369"/>
      <c r="G8" s="42"/>
      <c r="H8" s="276"/>
      <c r="I8" s="276"/>
      <c r="J8" s="276"/>
      <c r="K8" s="276"/>
      <c r="L8" s="799"/>
      <c r="M8" s="799"/>
      <c r="N8" s="799"/>
      <c r="O8" s="801"/>
      <c r="P8" s="801"/>
      <c r="Q8" s="793"/>
      <c r="R8" s="15"/>
      <c r="S8" s="15"/>
      <c r="T8" s="367"/>
      <c r="W8" s="375"/>
      <c r="X8" s="375"/>
      <c r="Y8" s="375"/>
      <c r="Z8" s="110"/>
    </row>
    <row r="9" spans="1:26" ht="13.9" customHeight="1">
      <c r="A9" s="367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367"/>
      <c r="W9" s="375"/>
      <c r="X9" s="375"/>
      <c r="Y9" s="375"/>
      <c r="Z9" s="110"/>
    </row>
    <row r="10" spans="1:26" ht="13.9" customHeight="1">
      <c r="A10" s="367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367"/>
      <c r="W10" s="375"/>
      <c r="X10" s="375"/>
      <c r="Y10" s="375"/>
      <c r="Z10" s="110"/>
    </row>
    <row r="11" spans="1:26" ht="13.9" customHeight="1">
      <c r="A11" s="367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367"/>
      <c r="W11" s="110"/>
      <c r="X11" s="110"/>
      <c r="Y11" s="110"/>
      <c r="Z11" s="110"/>
    </row>
    <row r="12" spans="1:26" ht="13.9" customHeight="1">
      <c r="A12" s="367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367"/>
    </row>
    <row r="13" spans="1:26" ht="13.9" customHeight="1">
      <c r="A13" s="367"/>
      <c r="B13" s="15"/>
      <c r="C13" s="360"/>
      <c r="D13" s="360"/>
      <c r="E13" s="360"/>
      <c r="F13" s="360"/>
      <c r="G13" s="360"/>
      <c r="H13" s="360"/>
      <c r="I13" s="360"/>
      <c r="J13" s="360"/>
      <c r="K13" s="360"/>
      <c r="L13" s="360"/>
      <c r="M13" s="360"/>
      <c r="N13" s="360"/>
      <c r="O13" s="360"/>
      <c r="P13" s="360"/>
      <c r="Q13" s="360"/>
      <c r="R13" s="360"/>
      <c r="S13" s="15"/>
      <c r="T13" s="367"/>
    </row>
    <row r="14" spans="1:26" ht="13.9" customHeight="1">
      <c r="A14" s="367"/>
      <c r="B14" s="15"/>
      <c r="C14" s="359"/>
      <c r="D14" s="794" t="s">
        <v>255</v>
      </c>
      <c r="E14" s="794"/>
      <c r="F14" s="794"/>
      <c r="G14" s="794"/>
      <c r="H14" s="794"/>
      <c r="I14" s="794"/>
      <c r="J14" s="794"/>
      <c r="K14" s="794"/>
      <c r="L14" s="794"/>
      <c r="M14" s="359"/>
      <c r="N14" s="359"/>
      <c r="O14" s="359"/>
      <c r="P14" s="359"/>
      <c r="Q14" s="359"/>
      <c r="R14" s="359"/>
      <c r="S14" s="345"/>
      <c r="T14" s="367"/>
    </row>
    <row r="15" spans="1:26" ht="13.9" customHeight="1">
      <c r="A15" s="367"/>
      <c r="B15" s="15"/>
      <c r="C15" s="359"/>
      <c r="D15" s="794"/>
      <c r="E15" s="794"/>
      <c r="F15" s="794"/>
      <c r="G15" s="794"/>
      <c r="H15" s="794"/>
      <c r="I15" s="794"/>
      <c r="J15" s="794"/>
      <c r="K15" s="794"/>
      <c r="L15" s="794"/>
      <c r="M15" s="359"/>
      <c r="N15" s="359"/>
      <c r="O15" s="359"/>
      <c r="P15" s="359"/>
      <c r="Q15" s="359"/>
      <c r="R15" s="359"/>
      <c r="S15" s="345"/>
      <c r="T15" s="367"/>
    </row>
    <row r="16" spans="1:26" ht="13.9" customHeight="1">
      <c r="A16" s="367"/>
      <c r="B16" s="15"/>
      <c r="C16" s="359"/>
      <c r="D16" s="359"/>
      <c r="E16" s="359"/>
      <c r="F16" s="359"/>
      <c r="G16" s="359"/>
      <c r="H16" s="359"/>
      <c r="I16" s="359"/>
      <c r="J16" s="359"/>
      <c r="K16" s="359"/>
      <c r="L16" s="359"/>
      <c r="M16" s="359"/>
      <c r="N16" s="359"/>
      <c r="O16" s="359"/>
      <c r="P16" s="359"/>
      <c r="Q16" s="359"/>
      <c r="R16" s="359"/>
      <c r="S16" s="345"/>
      <c r="T16" s="367"/>
    </row>
    <row r="17" spans="1:20" ht="13.9" customHeight="1">
      <c r="A17" s="367"/>
      <c r="B17" s="15"/>
      <c r="C17" s="359"/>
      <c r="D17" s="359"/>
      <c r="E17" s="359"/>
      <c r="F17" s="359"/>
      <c r="G17" s="359"/>
      <c r="H17" s="359"/>
      <c r="I17" s="359"/>
      <c r="J17" s="359"/>
      <c r="K17" s="359"/>
      <c r="L17" s="359"/>
      <c r="M17" s="359"/>
      <c r="N17" s="359"/>
      <c r="O17" s="359"/>
      <c r="P17" s="359"/>
      <c r="Q17" s="359"/>
      <c r="R17" s="359"/>
      <c r="S17" s="345"/>
      <c r="T17" s="367"/>
    </row>
    <row r="18" spans="1:20" ht="13.9" customHeight="1">
      <c r="A18" s="367"/>
      <c r="B18" s="15"/>
      <c r="C18" s="359"/>
      <c r="D18" s="359"/>
      <c r="E18" s="359"/>
      <c r="F18" s="359"/>
      <c r="G18" s="359"/>
      <c r="H18" s="359"/>
      <c r="I18" s="359"/>
      <c r="J18" s="359"/>
      <c r="K18" s="359"/>
      <c r="L18" s="359"/>
      <c r="M18" s="359"/>
      <c r="N18" s="359"/>
      <c r="O18" s="359"/>
      <c r="P18" s="359"/>
      <c r="Q18" s="359"/>
      <c r="R18" s="359"/>
      <c r="S18" s="345"/>
      <c r="T18" s="367"/>
    </row>
    <row r="19" spans="1:20" ht="13.9" customHeight="1">
      <c r="A19" s="367"/>
      <c r="B19" s="15"/>
      <c r="C19" s="359"/>
      <c r="D19" s="359"/>
      <c r="E19" s="359"/>
      <c r="F19" s="359"/>
      <c r="G19" s="359"/>
      <c r="H19" s="359"/>
      <c r="I19" s="359"/>
      <c r="J19" s="359"/>
      <c r="K19" s="359"/>
      <c r="L19" s="359"/>
      <c r="M19" s="359"/>
      <c r="N19" s="359"/>
      <c r="O19" s="359"/>
      <c r="P19" s="359"/>
      <c r="Q19" s="359"/>
      <c r="R19" s="359"/>
      <c r="S19" s="345"/>
      <c r="T19" s="367"/>
    </row>
    <row r="20" spans="1:20" ht="13.9" customHeight="1">
      <c r="A20" s="367"/>
      <c r="B20" s="15"/>
      <c r="C20" s="360"/>
      <c r="D20" s="360"/>
      <c r="E20" s="360"/>
      <c r="F20" s="360"/>
      <c r="G20" s="360"/>
      <c r="H20" s="360"/>
      <c r="I20" s="360"/>
      <c r="J20" s="360"/>
      <c r="K20" s="360"/>
      <c r="L20" s="360"/>
      <c r="M20" s="360"/>
      <c r="N20" s="360"/>
      <c r="O20" s="360"/>
      <c r="P20" s="360"/>
      <c r="Q20" s="360"/>
      <c r="R20" s="360"/>
      <c r="S20" s="15"/>
      <c r="T20" s="367"/>
    </row>
    <row r="21" spans="1:20" ht="14.45" customHeight="1">
      <c r="A21" s="367"/>
      <c r="B21" s="15"/>
      <c r="C21" s="360"/>
      <c r="D21" s="360"/>
      <c r="E21" s="360"/>
      <c r="F21" s="360"/>
      <c r="G21" s="360"/>
      <c r="H21" s="360"/>
      <c r="I21" s="360"/>
      <c r="J21" s="360"/>
      <c r="K21" s="360"/>
      <c r="L21" s="360"/>
      <c r="M21" s="360"/>
      <c r="N21" s="360"/>
      <c r="O21" s="360"/>
      <c r="P21" s="360"/>
      <c r="Q21" s="360"/>
      <c r="R21" s="360"/>
      <c r="S21" s="15"/>
      <c r="T21" s="367"/>
    </row>
    <row r="22" spans="1:20" ht="14.45" customHeight="1">
      <c r="A22" s="1"/>
      <c r="B22" s="15"/>
      <c r="C22" s="360"/>
      <c r="D22" s="360"/>
      <c r="E22" s="360"/>
      <c r="F22" s="360"/>
      <c r="G22" s="360"/>
      <c r="H22" s="360"/>
      <c r="I22" s="360"/>
      <c r="J22" s="360"/>
      <c r="K22" s="360"/>
      <c r="L22" s="360"/>
      <c r="M22" s="360"/>
      <c r="N22" s="360"/>
      <c r="O22" s="360"/>
      <c r="P22" s="360"/>
      <c r="Q22" s="360"/>
      <c r="R22" s="360"/>
      <c r="S22" s="15"/>
      <c r="T22" s="1"/>
    </row>
    <row r="23" spans="1:20" ht="14.45" customHeight="1">
      <c r="A23" s="1"/>
      <c r="B23" s="367"/>
      <c r="C23" s="360"/>
      <c r="D23" s="360"/>
      <c r="E23" s="360"/>
      <c r="F23" s="360"/>
      <c r="G23" s="360"/>
      <c r="H23" s="360"/>
      <c r="I23" s="360"/>
      <c r="J23" s="360"/>
      <c r="K23" s="360"/>
      <c r="L23" s="360"/>
      <c r="M23" s="360"/>
      <c r="N23" s="360"/>
      <c r="O23" s="360"/>
      <c r="P23" s="360"/>
      <c r="Q23" s="360"/>
      <c r="R23" s="360"/>
      <c r="S23" s="1"/>
      <c r="T23" s="1"/>
    </row>
    <row r="24" spans="1:20" ht="14.45" customHeight="1">
      <c r="A24" s="1"/>
      <c r="B24" s="367"/>
      <c r="C24" s="360"/>
      <c r="D24" s="360"/>
      <c r="E24" s="360"/>
      <c r="F24" s="360"/>
      <c r="G24" s="360"/>
      <c r="H24" s="360"/>
      <c r="I24" s="360"/>
      <c r="J24" s="360"/>
      <c r="K24" s="360"/>
      <c r="L24" s="360"/>
      <c r="M24" s="360"/>
      <c r="N24" s="360"/>
      <c r="O24" s="360"/>
      <c r="P24" s="360"/>
      <c r="Q24" s="360"/>
      <c r="R24" s="360"/>
      <c r="S24" s="1"/>
      <c r="T24" s="1"/>
    </row>
    <row r="25" spans="1:20" ht="18" customHeight="1">
      <c r="A25" s="1"/>
      <c r="B25" s="109"/>
      <c r="C25" s="360"/>
      <c r="D25" s="360"/>
      <c r="E25" s="360"/>
      <c r="F25" s="360"/>
      <c r="G25" s="360"/>
      <c r="H25" s="360"/>
      <c r="I25" s="360"/>
      <c r="J25" s="360"/>
      <c r="K25" s="360"/>
      <c r="L25" s="360"/>
      <c r="M25" s="360"/>
      <c r="N25" s="360"/>
      <c r="O25" s="360"/>
      <c r="P25" s="360"/>
      <c r="Q25" s="360"/>
      <c r="R25" s="360"/>
      <c r="S25" s="3"/>
      <c r="T25" s="1"/>
    </row>
    <row r="26" spans="1:20">
      <c r="A26" s="1"/>
      <c r="B26" s="1"/>
      <c r="C26" s="367"/>
      <c r="D26" s="367"/>
      <c r="E26" s="367"/>
      <c r="F26" s="367"/>
      <c r="G26" s="367"/>
      <c r="H26" s="367"/>
      <c r="I26" s="367"/>
      <c r="J26" s="15"/>
      <c r="K26" s="367"/>
      <c r="L26" s="1"/>
      <c r="M26" s="1"/>
      <c r="N26" s="1"/>
      <c r="O26" s="1"/>
      <c r="P26" s="1"/>
      <c r="Q26" s="1"/>
      <c r="R26" s="1"/>
      <c r="S26" s="1"/>
      <c r="T26" s="1"/>
    </row>
    <row r="27" spans="1:20" ht="18.75">
      <c r="A27" s="1"/>
      <c r="B27" s="741"/>
      <c r="C27" s="741"/>
      <c r="D27" s="795"/>
      <c r="E27" s="795"/>
      <c r="F27" s="795"/>
      <c r="G27" s="795"/>
      <c r="H27" s="1"/>
      <c r="I27" s="1"/>
      <c r="J27" s="741"/>
      <c r="K27" s="741"/>
      <c r="L27" s="796"/>
      <c r="M27" s="796"/>
      <c r="N27" s="3"/>
      <c r="O27" s="1"/>
      <c r="P27" s="1"/>
      <c r="Q27" s="1"/>
      <c r="R27" s="1"/>
      <c r="S27" s="1"/>
      <c r="T27" s="1"/>
    </row>
    <row r="28" spans="1:20">
      <c r="A28" s="1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"/>
    </row>
    <row r="29" spans="1:20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</sheetData>
  <mergeCells count="18">
    <mergeCell ref="Q2:R2"/>
    <mergeCell ref="B2:C2"/>
    <mergeCell ref="D2:G2"/>
    <mergeCell ref="H2:J2"/>
    <mergeCell ref="K2:M2"/>
    <mergeCell ref="O2:P2"/>
    <mergeCell ref="C4:F5"/>
    <mergeCell ref="H4:K5"/>
    <mergeCell ref="L4:N5"/>
    <mergeCell ref="O4:P5"/>
    <mergeCell ref="L7:N8"/>
    <mergeCell ref="O7:P8"/>
    <mergeCell ref="Q7:Q8"/>
    <mergeCell ref="D14:L15"/>
    <mergeCell ref="B27:C27"/>
    <mergeCell ref="D27:G27"/>
    <mergeCell ref="J27:K27"/>
    <mergeCell ref="L27:M27"/>
  </mergeCells>
  <conditionalFormatting sqref="F26:G26">
    <cfRule type="cellIs" dxfId="12" priority="1" operator="greaterThan">
      <formula>55</formula>
    </cfRule>
  </conditionalFormatting>
  <pageMargins left="0.7" right="0.7" top="0.75" bottom="0.75" header="0.3" footer="0.3"/>
  <drawing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8232D99-0A1B-4ABF-8ABF-8BD95D7C8490}">
          <x14:formula1>
            <xm:f>'Default values '!$C$2:$C$10</xm:f>
          </x14:formula1>
          <xm:sqref>O4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4"/>
  <dimension ref="A1:AA105"/>
  <sheetViews>
    <sheetView topLeftCell="A37" zoomScale="110" zoomScaleNormal="110" workbookViewId="0">
      <selection activeCell="T46" sqref="T46:T47"/>
    </sheetView>
  </sheetViews>
  <sheetFormatPr baseColWidth="10" defaultColWidth="8.85546875" defaultRowHeight="15"/>
  <cols>
    <col min="1" max="1" width="7.28515625" style="17" customWidth="1"/>
    <col min="2" max="2" width="5.28515625" style="17" customWidth="1"/>
    <col min="3" max="3" width="13" style="17" customWidth="1"/>
    <col min="4" max="11" width="8.7109375" style="17" customWidth="1"/>
    <col min="12" max="12" width="6.85546875" style="17" customWidth="1"/>
    <col min="13" max="13" width="11.28515625" style="17" customWidth="1"/>
    <col min="14" max="14" width="8.7109375" style="17" customWidth="1"/>
    <col min="15" max="15" width="9.7109375" style="17" customWidth="1"/>
    <col min="16" max="16" width="11.140625" style="17" customWidth="1"/>
    <col min="17" max="17" width="8.7109375" style="17" customWidth="1"/>
    <col min="18" max="18" width="11.5703125" style="17" customWidth="1"/>
    <col min="19" max="19" width="5.7109375" style="17" customWidth="1"/>
    <col min="20" max="20" width="11" style="16" customWidth="1"/>
    <col min="21" max="26" width="8.85546875" style="16"/>
    <col min="27" max="16384" width="8.85546875" style="17"/>
  </cols>
  <sheetData>
    <row r="1" spans="1:26" ht="15" customHeight="1">
      <c r="A1" s="102"/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</row>
    <row r="2" spans="1:26" ht="15" customHeight="1">
      <c r="A2" s="102"/>
      <c r="B2" s="15"/>
      <c r="C2" s="15"/>
      <c r="D2" s="15"/>
      <c r="E2" s="15"/>
      <c r="F2" s="15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X2" s="157" t="s">
        <v>260</v>
      </c>
    </row>
    <row r="3" spans="1:26" ht="7.9" customHeight="1">
      <c r="A3" s="102"/>
      <c r="B3" s="21"/>
      <c r="C3" s="21"/>
      <c r="D3" s="21"/>
      <c r="E3" s="21"/>
      <c r="F3" s="21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102"/>
      <c r="X3" s="157"/>
    </row>
    <row r="4" spans="1:26" ht="15" customHeight="1">
      <c r="A4" s="102"/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24" t="s">
        <v>6</v>
      </c>
      <c r="X4" s="157"/>
    </row>
    <row r="5" spans="1:26" s="23" customFormat="1" ht="15" customHeight="1">
      <c r="A5" s="26"/>
      <c r="B5" s="28"/>
      <c r="C5" s="797" t="s">
        <v>15</v>
      </c>
      <c r="D5" s="797"/>
      <c r="E5" s="797"/>
      <c r="F5" s="32"/>
      <c r="G5" s="798" t="s">
        <v>292</v>
      </c>
      <c r="H5" s="798"/>
      <c r="I5" s="798"/>
      <c r="J5" s="798"/>
      <c r="K5" s="799" t="s">
        <v>14</v>
      </c>
      <c r="L5" s="799"/>
      <c r="M5" s="799"/>
      <c r="N5" s="838" t="s">
        <v>33</v>
      </c>
      <c r="O5" s="838"/>
      <c r="P5" s="32">
        <f>VLOOKUP(N5,'Default values '!C2:D10,2,TRUE)</f>
        <v>8760</v>
      </c>
      <c r="Q5" s="28"/>
      <c r="R5" s="28"/>
      <c r="S5" s="28"/>
      <c r="T5" s="25" t="s">
        <v>91</v>
      </c>
      <c r="U5" s="22"/>
      <c r="V5" s="22"/>
      <c r="W5" s="22"/>
      <c r="X5" s="377" t="s">
        <v>261</v>
      </c>
      <c r="Y5" s="22"/>
      <c r="Z5" s="22"/>
    </row>
    <row r="6" spans="1:26" ht="15" customHeight="1">
      <c r="A6" s="102"/>
      <c r="B6" s="14"/>
      <c r="C6" s="797"/>
      <c r="D6" s="797"/>
      <c r="E6" s="797"/>
      <c r="F6" s="32"/>
      <c r="G6" s="798"/>
      <c r="H6" s="798"/>
      <c r="I6" s="798"/>
      <c r="J6" s="798"/>
      <c r="K6" s="799"/>
      <c r="L6" s="799"/>
      <c r="M6" s="799"/>
      <c r="N6" s="838"/>
      <c r="O6" s="838"/>
      <c r="P6" s="14"/>
      <c r="Q6" s="14"/>
      <c r="R6" s="14"/>
      <c r="S6" s="14"/>
    </row>
    <row r="7" spans="1:26" ht="15" customHeight="1">
      <c r="A7" s="102"/>
      <c r="B7" s="14"/>
      <c r="C7" s="100"/>
      <c r="D7" s="100"/>
      <c r="E7" s="100"/>
      <c r="F7" s="42"/>
      <c r="G7" s="276"/>
      <c r="H7" s="276"/>
      <c r="I7" s="276"/>
      <c r="J7" s="276"/>
      <c r="K7" s="14"/>
      <c r="L7" s="14"/>
      <c r="M7" s="14"/>
      <c r="N7" s="14"/>
      <c r="O7" s="14"/>
      <c r="P7" s="14"/>
      <c r="Q7" s="14"/>
      <c r="R7" s="14"/>
      <c r="S7" s="14"/>
    </row>
    <row r="8" spans="1:26" ht="15" customHeight="1">
      <c r="A8" s="102"/>
      <c r="B8" s="14"/>
      <c r="C8" s="100"/>
      <c r="D8" s="100"/>
      <c r="E8" s="100"/>
      <c r="F8" s="42"/>
      <c r="G8" s="276"/>
      <c r="H8" s="276"/>
      <c r="I8" s="276"/>
      <c r="J8" s="276"/>
      <c r="K8" s="799"/>
      <c r="L8" s="799"/>
      <c r="M8" s="799"/>
      <c r="N8" s="800"/>
      <c r="O8" s="800"/>
      <c r="P8" s="793"/>
      <c r="Q8" s="14"/>
      <c r="R8" s="14"/>
      <c r="S8" s="14"/>
    </row>
    <row r="9" spans="1:26" ht="15" customHeight="1">
      <c r="A9" s="102"/>
      <c r="B9" s="14"/>
      <c r="C9" s="100"/>
      <c r="D9" s="100"/>
      <c r="E9" s="100"/>
      <c r="F9" s="42"/>
      <c r="G9" s="276"/>
      <c r="H9" s="276"/>
      <c r="I9" s="276"/>
      <c r="J9" s="276"/>
      <c r="K9" s="799"/>
      <c r="L9" s="799"/>
      <c r="M9" s="799"/>
      <c r="N9" s="800"/>
      <c r="O9" s="800"/>
      <c r="P9" s="793"/>
      <c r="Q9" s="26"/>
      <c r="R9" s="26"/>
      <c r="S9" s="26"/>
    </row>
    <row r="10" spans="1:26" s="23" customFormat="1" ht="15" customHeight="1">
      <c r="A10" s="102"/>
      <c r="B10" s="14"/>
      <c r="C10" s="100"/>
      <c r="D10" s="100"/>
      <c r="E10" s="100"/>
      <c r="F10" s="42"/>
      <c r="G10" s="42"/>
      <c r="H10" s="4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22"/>
      <c r="U10" s="22" t="s">
        <v>223</v>
      </c>
      <c r="V10" s="22"/>
      <c r="W10" s="22"/>
      <c r="X10" s="22"/>
      <c r="Y10" s="22"/>
      <c r="Z10" s="22"/>
    </row>
    <row r="11" spans="1:26" ht="15" customHeight="1" thickBot="1">
      <c r="A11" s="102"/>
      <c r="B11" s="14"/>
      <c r="C11" s="14"/>
      <c r="D11" s="14"/>
      <c r="E11" s="14"/>
      <c r="F11" s="14"/>
      <c r="G11" s="14"/>
      <c r="H11" s="14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</row>
    <row r="12" spans="1:26" ht="15" customHeight="1" thickTop="1">
      <c r="A12" s="102"/>
      <c r="B12" s="29"/>
      <c r="C12" s="30"/>
      <c r="D12" s="30"/>
      <c r="E12" s="30"/>
      <c r="F12" s="30"/>
      <c r="G12" s="30"/>
      <c r="H12" s="30"/>
      <c r="I12" s="6"/>
      <c r="J12" s="6"/>
      <c r="K12" s="48"/>
      <c r="L12" s="102"/>
      <c r="M12" s="15"/>
      <c r="N12" s="15"/>
      <c r="O12" s="15"/>
      <c r="P12" s="15"/>
      <c r="Q12" s="15"/>
      <c r="R12" s="15"/>
      <c r="S12" s="102"/>
    </row>
    <row r="13" spans="1:26" ht="15" customHeight="1">
      <c r="A13" s="26"/>
      <c r="B13" s="31"/>
      <c r="C13" s="793" t="s">
        <v>7</v>
      </c>
      <c r="D13" s="793"/>
      <c r="E13" s="793"/>
      <c r="F13" s="850">
        <v>10</v>
      </c>
      <c r="G13" s="850"/>
      <c r="H13" s="793" t="s">
        <v>8</v>
      </c>
      <c r="I13" s="26"/>
      <c r="J13" s="26"/>
      <c r="K13" s="46"/>
      <c r="L13" s="26"/>
      <c r="M13" s="41"/>
      <c r="N13" s="41"/>
      <c r="O13" s="41"/>
      <c r="P13" s="41"/>
      <c r="Q13" s="41"/>
      <c r="R13" s="41"/>
      <c r="S13" s="26"/>
    </row>
    <row r="14" spans="1:26" s="23" customFormat="1" ht="15" customHeight="1">
      <c r="A14" s="102"/>
      <c r="B14" s="8"/>
      <c r="C14" s="793"/>
      <c r="D14" s="793"/>
      <c r="E14" s="793"/>
      <c r="F14" s="850"/>
      <c r="G14" s="850"/>
      <c r="H14" s="793"/>
      <c r="I14" s="15"/>
      <c r="J14" s="26"/>
      <c r="K14" s="46"/>
      <c r="L14" s="26"/>
      <c r="M14" s="851" t="str">
        <f>IF(O14="","","Heat loss")</f>
        <v>Heat loss</v>
      </c>
      <c r="N14" s="851"/>
      <c r="O14" s="845">
        <f>IF(O45=0,"",O45)</f>
        <v>210557.65672598453</v>
      </c>
      <c r="P14" s="845"/>
      <c r="Q14" s="839" t="str">
        <f>IF(O14="","","kWh/a")</f>
        <v>kWh/a</v>
      </c>
      <c r="R14" s="839"/>
      <c r="S14" s="102"/>
      <c r="T14" s="22"/>
      <c r="U14" s="22"/>
      <c r="V14" s="22"/>
      <c r="W14" s="22"/>
      <c r="X14" s="22"/>
      <c r="Y14" s="22"/>
      <c r="Z14" s="22"/>
    </row>
    <row r="15" spans="1:26" ht="15" customHeight="1">
      <c r="A15" s="102"/>
      <c r="B15" s="8"/>
      <c r="C15" s="102"/>
      <c r="D15" s="102"/>
      <c r="E15" s="102"/>
      <c r="F15" s="33"/>
      <c r="G15" s="33"/>
      <c r="H15" s="102"/>
      <c r="I15" s="15"/>
      <c r="J15" s="15"/>
      <c r="K15" s="40"/>
      <c r="L15" s="15"/>
      <c r="M15" s="851"/>
      <c r="N15" s="851"/>
      <c r="O15" s="845"/>
      <c r="P15" s="845"/>
      <c r="Q15" s="839"/>
      <c r="R15" s="839"/>
      <c r="S15" s="102"/>
    </row>
    <row r="16" spans="1:26" ht="15" customHeight="1">
      <c r="A16" s="102"/>
      <c r="B16" s="8"/>
      <c r="C16" s="102"/>
      <c r="D16" s="102"/>
      <c r="E16" s="102"/>
      <c r="F16" s="33"/>
      <c r="G16" s="33"/>
      <c r="H16" s="102"/>
      <c r="I16" s="27"/>
      <c r="J16" s="27"/>
      <c r="K16" s="40"/>
      <c r="L16" s="27"/>
      <c r="M16" s="851"/>
      <c r="N16" s="851"/>
      <c r="O16" s="840">
        <f>IF(O45=0,"",P45)</f>
        <v>7580.0756421354426</v>
      </c>
      <c r="P16" s="840"/>
      <c r="Q16" s="841" t="str">
        <f>IF(Surface!O16="","",IF(Surface!O45=0,"","€/a"))</f>
        <v>€/a</v>
      </c>
      <c r="R16" s="841"/>
      <c r="S16" s="102"/>
    </row>
    <row r="17" spans="1:26" ht="15" customHeight="1">
      <c r="A17" s="26"/>
      <c r="B17" s="31"/>
      <c r="C17" s="793" t="s">
        <v>99</v>
      </c>
      <c r="D17" s="793"/>
      <c r="E17" s="793"/>
      <c r="F17" s="838" t="s">
        <v>329</v>
      </c>
      <c r="G17" s="838"/>
      <c r="H17" s="47">
        <f>IF(F17="","",VLOOKUP(F17,'Default values '!A2:B7,2,FALSE))</f>
        <v>0.9</v>
      </c>
      <c r="I17" s="27"/>
      <c r="J17" s="27"/>
      <c r="K17" s="46"/>
      <c r="L17" s="27"/>
      <c r="M17" s="851"/>
      <c r="N17" s="851"/>
      <c r="O17" s="840"/>
      <c r="P17" s="840"/>
      <c r="Q17" s="841"/>
      <c r="R17" s="841"/>
      <c r="S17" s="26"/>
    </row>
    <row r="18" spans="1:26" s="23" customFormat="1" ht="15" customHeight="1">
      <c r="A18" s="102"/>
      <c r="B18" s="8"/>
      <c r="C18" s="793"/>
      <c r="D18" s="793"/>
      <c r="E18" s="793"/>
      <c r="F18" s="838"/>
      <c r="G18" s="838"/>
      <c r="H18" s="15"/>
      <c r="I18" s="102"/>
      <c r="J18" s="102"/>
      <c r="K18" s="9"/>
      <c r="L18" s="102"/>
      <c r="M18" s="842" t="str">
        <f>IF(O14="","","Saving potential")</f>
        <v>Saving potential</v>
      </c>
      <c r="N18" s="842"/>
      <c r="O18" s="852">
        <f>IF(F25=0,"",R46)</f>
        <v>186642.86044931854</v>
      </c>
      <c r="P18" s="853">
        <f>IF(F25=0,"",R47)</f>
        <v>206259.61797611133</v>
      </c>
      <c r="Q18" s="843" t="str">
        <f>IF(O18="","","kWh/a")</f>
        <v>kWh/a</v>
      </c>
      <c r="R18" s="843"/>
      <c r="S18" s="102"/>
      <c r="T18" s="22"/>
      <c r="U18" s="22"/>
      <c r="V18" s="22"/>
      <c r="W18" s="22"/>
      <c r="X18" s="22"/>
      <c r="Y18" s="22"/>
      <c r="Z18" s="22"/>
    </row>
    <row r="19" spans="1:26" ht="15" customHeight="1">
      <c r="A19" s="102"/>
      <c r="B19" s="8"/>
      <c r="C19" s="15"/>
      <c r="D19" s="15"/>
      <c r="E19" s="15"/>
      <c r="F19" s="33"/>
      <c r="G19" s="33"/>
      <c r="H19" s="15"/>
      <c r="I19" s="102"/>
      <c r="J19" s="102"/>
      <c r="K19" s="9"/>
      <c r="L19" s="102"/>
      <c r="M19" s="842"/>
      <c r="N19" s="842"/>
      <c r="O19" s="852"/>
      <c r="P19" s="853"/>
      <c r="Q19" s="843"/>
      <c r="R19" s="843"/>
      <c r="S19" s="102"/>
    </row>
    <row r="20" spans="1:26" ht="15" customHeight="1">
      <c r="A20" s="102"/>
      <c r="B20" s="8"/>
      <c r="C20" s="102"/>
      <c r="D20" s="102"/>
      <c r="E20" s="102"/>
      <c r="F20" s="33"/>
      <c r="G20" s="33"/>
      <c r="H20" s="102"/>
      <c r="I20" s="102"/>
      <c r="J20" s="102"/>
      <c r="K20" s="9"/>
      <c r="L20" s="102"/>
      <c r="M20" s="842"/>
      <c r="N20" s="842"/>
      <c r="O20" s="854">
        <f>IF(F25=0,"",S46)</f>
        <v>6719.1429761754662</v>
      </c>
      <c r="P20" s="855">
        <f>IF(F25=0,"",S47)</f>
        <v>7425.3462471400071</v>
      </c>
      <c r="Q20" s="844" t="str">
        <f>IF(O20=0,"",IF(O45=0,"","€/a"))</f>
        <v>€/a</v>
      </c>
      <c r="R20" s="844"/>
      <c r="S20" s="102"/>
    </row>
    <row r="21" spans="1:26" ht="15" customHeight="1">
      <c r="A21" s="26"/>
      <c r="B21" s="31"/>
      <c r="C21" s="793" t="s">
        <v>36</v>
      </c>
      <c r="D21" s="793"/>
      <c r="E21" s="793"/>
      <c r="F21" s="850">
        <v>20</v>
      </c>
      <c r="G21" s="850"/>
      <c r="H21" s="793" t="s">
        <v>22</v>
      </c>
      <c r="I21" s="26"/>
      <c r="J21" s="26"/>
      <c r="K21" s="46"/>
      <c r="L21" s="26"/>
      <c r="M21" s="842"/>
      <c r="N21" s="842"/>
      <c r="O21" s="854"/>
      <c r="P21" s="855"/>
      <c r="Q21" s="844"/>
      <c r="R21" s="844"/>
      <c r="S21" s="26"/>
    </row>
    <row r="22" spans="1:26" s="23" customFormat="1" ht="15" customHeight="1">
      <c r="A22" s="102"/>
      <c r="B22" s="8"/>
      <c r="C22" s="793"/>
      <c r="D22" s="793"/>
      <c r="E22" s="793"/>
      <c r="F22" s="850"/>
      <c r="G22" s="850"/>
      <c r="H22" s="793"/>
      <c r="I22" s="102"/>
      <c r="J22" s="102"/>
      <c r="K22" s="9"/>
      <c r="L22" s="102"/>
      <c r="M22" s="41"/>
      <c r="N22" s="41"/>
      <c r="O22" s="41"/>
      <c r="P22" s="41"/>
      <c r="Q22" s="41"/>
      <c r="R22" s="41"/>
      <c r="S22" s="102"/>
      <c r="T22" s="22"/>
      <c r="U22" s="22"/>
      <c r="V22" s="22"/>
      <c r="W22" s="22"/>
      <c r="X22" s="22"/>
      <c r="Y22" s="22"/>
      <c r="Z22" s="22"/>
    </row>
    <row r="23" spans="1:26" ht="15" customHeight="1">
      <c r="A23" s="102"/>
      <c r="B23" s="8"/>
      <c r="C23" s="102"/>
      <c r="D23" s="102"/>
      <c r="E23" s="102"/>
      <c r="F23" s="102"/>
      <c r="G23" s="102"/>
      <c r="H23" s="18"/>
      <c r="I23" s="19"/>
      <c r="J23" s="19"/>
      <c r="K23" s="40"/>
      <c r="L23" s="102"/>
      <c r="M23" s="45"/>
      <c r="N23" s="43"/>
      <c r="O23" s="43"/>
      <c r="P23" s="43"/>
      <c r="Q23" s="43"/>
      <c r="R23" s="43"/>
      <c r="S23" s="102"/>
    </row>
    <row r="24" spans="1:26" ht="15" customHeight="1">
      <c r="A24" s="102"/>
      <c r="B24" s="8"/>
      <c r="C24" s="102"/>
      <c r="D24" s="102"/>
      <c r="E24" s="102"/>
      <c r="F24" s="102"/>
      <c r="G24" s="102"/>
      <c r="H24" s="19"/>
      <c r="I24" s="19"/>
      <c r="J24" s="19"/>
      <c r="K24" s="40"/>
      <c r="L24" s="102"/>
      <c r="M24" s="49"/>
      <c r="N24" s="44"/>
      <c r="O24" s="44"/>
      <c r="P24" s="44"/>
      <c r="Q24" s="43"/>
      <c r="R24" s="43"/>
      <c r="S24" s="102"/>
    </row>
    <row r="25" spans="1:26" ht="15" customHeight="1">
      <c r="A25" s="26"/>
      <c r="B25" s="8"/>
      <c r="C25" s="793" t="s">
        <v>284</v>
      </c>
      <c r="D25" s="793"/>
      <c r="E25" s="793"/>
      <c r="F25" s="850">
        <v>150</v>
      </c>
      <c r="G25" s="850"/>
      <c r="H25" s="793" t="s">
        <v>22</v>
      </c>
      <c r="I25" s="19"/>
      <c r="J25" s="19"/>
      <c r="K25" s="40"/>
      <c r="L25" s="102"/>
      <c r="M25" s="856" t="str">
        <f>IF(F25="","",M53)</f>
        <v>Insulation recommended</v>
      </c>
      <c r="N25" s="856"/>
      <c r="O25" s="856"/>
      <c r="P25" s="856"/>
      <c r="Q25" s="43"/>
      <c r="R25" s="43"/>
      <c r="S25" s="102"/>
    </row>
    <row r="26" spans="1:26" ht="15" customHeight="1">
      <c r="A26" s="102"/>
      <c r="B26" s="8"/>
      <c r="C26" s="793"/>
      <c r="D26" s="793"/>
      <c r="E26" s="793"/>
      <c r="F26" s="850"/>
      <c r="G26" s="850"/>
      <c r="H26" s="793"/>
      <c r="I26" s="19"/>
      <c r="J26" s="19"/>
      <c r="K26" s="40"/>
      <c r="L26" s="102"/>
      <c r="M26" s="856"/>
      <c r="N26" s="856"/>
      <c r="O26" s="856"/>
      <c r="P26" s="856"/>
      <c r="Q26" s="43"/>
      <c r="R26" s="102"/>
      <c r="S26" s="102"/>
    </row>
    <row r="27" spans="1:26" ht="15" customHeight="1" thickBot="1">
      <c r="A27" s="102"/>
      <c r="B27" s="10"/>
      <c r="C27" s="11"/>
      <c r="D27" s="11"/>
      <c r="E27" s="11"/>
      <c r="F27" s="11"/>
      <c r="G27" s="11"/>
      <c r="H27" s="11"/>
      <c r="I27" s="11"/>
      <c r="J27" s="11"/>
      <c r="K27" s="12"/>
      <c r="L27" s="102"/>
      <c r="M27" s="856"/>
      <c r="N27" s="856"/>
      <c r="O27" s="856"/>
      <c r="P27" s="856"/>
      <c r="Q27" s="43"/>
      <c r="R27" s="102"/>
      <c r="S27" s="102"/>
    </row>
    <row r="28" spans="1:26" ht="16.5" thickTop="1" thickBot="1">
      <c r="A28" s="102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</row>
    <row r="29" spans="1:26" ht="15.75" thickTop="1">
      <c r="A29" s="102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102"/>
    </row>
    <row r="30" spans="1:26">
      <c r="A30" s="16"/>
      <c r="B30" s="16"/>
      <c r="C30" s="16" t="s">
        <v>92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</row>
    <row r="31" spans="1:26">
      <c r="A31" s="16"/>
      <c r="B31" s="16"/>
      <c r="C31" s="103" t="s">
        <v>93</v>
      </c>
      <c r="D31" s="364"/>
      <c r="E31" s="364"/>
      <c r="F31" s="364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366"/>
      <c r="R31" s="16"/>
      <c r="S31" s="16"/>
    </row>
    <row r="32" spans="1:26">
      <c r="A32" s="16"/>
      <c r="B32" s="16"/>
      <c r="C32" s="103" t="s">
        <v>94</v>
      </c>
      <c r="D32" s="364"/>
      <c r="E32" s="364"/>
      <c r="F32" s="364"/>
      <c r="G32" s="16" t="s">
        <v>97</v>
      </c>
      <c r="H32" s="16"/>
      <c r="I32" s="16" t="s">
        <v>222</v>
      </c>
      <c r="J32" s="16"/>
      <c r="K32" s="16"/>
      <c r="L32" s="16"/>
      <c r="M32" s="16"/>
      <c r="N32" s="16"/>
      <c r="O32" s="16"/>
      <c r="P32" s="16"/>
      <c r="Q32" s="366"/>
      <c r="R32" s="16"/>
      <c r="S32" s="16"/>
    </row>
    <row r="33" spans="1:22">
      <c r="A33" s="16"/>
      <c r="B33" s="16"/>
      <c r="C33" s="103" t="s">
        <v>95</v>
      </c>
      <c r="D33" s="364"/>
      <c r="E33" s="364"/>
      <c r="F33" s="364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366"/>
      <c r="R33" s="16"/>
      <c r="S33" s="16"/>
    </row>
    <row r="34" spans="1:22">
      <c r="A34" s="16"/>
      <c r="B34" s="16"/>
      <c r="C34" s="103" t="s">
        <v>96</v>
      </c>
      <c r="D34" s="364"/>
      <c r="E34" s="364"/>
      <c r="F34" s="364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366"/>
      <c r="R34" s="16"/>
      <c r="S34" s="16"/>
    </row>
    <row r="35" spans="1:22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</row>
    <row r="36" spans="1:22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</row>
    <row r="37" spans="1:22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</row>
    <row r="38" spans="1:22">
      <c r="A38" s="16" t="s">
        <v>25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</row>
    <row r="39" spans="1:22">
      <c r="A39" s="111" t="s">
        <v>47</v>
      </c>
      <c r="B39" s="102"/>
      <c r="C39" s="102"/>
      <c r="D39" s="335" t="s">
        <v>181</v>
      </c>
      <c r="E39" s="317"/>
      <c r="F39" s="335" t="s">
        <v>181</v>
      </c>
      <c r="G39" s="337" t="s">
        <v>183</v>
      </c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</row>
    <row r="40" spans="1:22">
      <c r="A40" s="111" t="s">
        <v>48</v>
      </c>
      <c r="B40" s="102"/>
      <c r="C40" s="336" t="s">
        <v>182</v>
      </c>
      <c r="D40" s="336"/>
      <c r="E40" s="336" t="s">
        <v>182</v>
      </c>
      <c r="F40" s="103" t="s">
        <v>90</v>
      </c>
      <c r="G40" s="317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</row>
    <row r="41" spans="1:22">
      <c r="A41" s="111" t="s">
        <v>90</v>
      </c>
      <c r="B41" s="102"/>
      <c r="C41" s="102"/>
      <c r="D41" s="317"/>
      <c r="E41" s="317"/>
      <c r="F41" s="317"/>
      <c r="G41" s="317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</row>
    <row r="42" spans="1:22">
      <c r="A42" s="102"/>
      <c r="B42" s="102"/>
      <c r="C42" s="102"/>
      <c r="D42" s="317"/>
      <c r="E42" s="317"/>
      <c r="F42" s="317"/>
      <c r="G42" s="338" t="s">
        <v>184</v>
      </c>
    </row>
    <row r="43" spans="1:22" customFormat="1" ht="98.45" customHeight="1">
      <c r="A43" s="65"/>
      <c r="B43" s="65"/>
      <c r="C43" s="73"/>
      <c r="D43" s="72"/>
      <c r="E43" s="72"/>
      <c r="F43" s="35"/>
      <c r="G43" s="16"/>
      <c r="H43" s="16"/>
      <c r="I43" s="16"/>
      <c r="J43" s="74"/>
      <c r="K43" s="74"/>
      <c r="L43" s="74"/>
      <c r="M43" s="75"/>
      <c r="N43" s="76" t="s">
        <v>31</v>
      </c>
      <c r="O43" s="76" t="s">
        <v>83</v>
      </c>
      <c r="P43" s="849"/>
      <c r="Q43" s="849"/>
      <c r="R43" s="77"/>
      <c r="S43" s="16"/>
      <c r="T43" s="16"/>
      <c r="U43" s="76"/>
      <c r="V43" s="76"/>
    </row>
    <row r="44" spans="1:22" s="34" customFormat="1" ht="59.45" customHeight="1">
      <c r="A44" s="802" t="s">
        <v>5</v>
      </c>
      <c r="B44" s="803"/>
      <c r="C44" s="81" t="s">
        <v>347</v>
      </c>
      <c r="D44" s="82"/>
      <c r="E44" s="82" t="s">
        <v>337</v>
      </c>
      <c r="F44" s="82" t="s">
        <v>30</v>
      </c>
      <c r="G44" s="82" t="s">
        <v>338</v>
      </c>
      <c r="H44" s="82" t="s">
        <v>348</v>
      </c>
      <c r="I44" s="82" t="s">
        <v>349</v>
      </c>
      <c r="J44" s="581" t="s">
        <v>459</v>
      </c>
      <c r="K44" s="83" t="s">
        <v>13</v>
      </c>
      <c r="L44" s="83" t="s">
        <v>346</v>
      </c>
      <c r="M44" s="83" t="s">
        <v>26</v>
      </c>
      <c r="N44" s="78" t="s">
        <v>166</v>
      </c>
      <c r="O44" s="80" t="s">
        <v>84</v>
      </c>
      <c r="P44" s="80" t="s">
        <v>85</v>
      </c>
      <c r="Q44" s="584" t="s">
        <v>463</v>
      </c>
      <c r="R44" s="824" t="s">
        <v>60</v>
      </c>
      <c r="S44" s="825"/>
      <c r="T44" s="825"/>
      <c r="U44" s="588"/>
      <c r="V44" s="588"/>
    </row>
    <row r="45" spans="1:22" customFormat="1" ht="18.75">
      <c r="A45" s="804" t="str">
        <f>G5</f>
        <v>tank roof</v>
      </c>
      <c r="B45" s="804"/>
      <c r="C45" s="255">
        <f>F13</f>
        <v>10</v>
      </c>
      <c r="D45" s="255"/>
      <c r="E45" s="256">
        <f>F25</f>
        <v>150</v>
      </c>
      <c r="F45" s="256">
        <f>F21</f>
        <v>20</v>
      </c>
      <c r="G45" s="257">
        <f>H17</f>
        <v>0.9</v>
      </c>
      <c r="H45" s="256">
        <f>P5</f>
        <v>8760</v>
      </c>
      <c r="I45" s="257">
        <f>TBi!$L$27</f>
        <v>3.5999999999999997E-2</v>
      </c>
      <c r="J45" s="582">
        <f>TBi!L28</f>
        <v>202</v>
      </c>
      <c r="K45" s="192">
        <f>IF(E45=0,"",$D$59*$G$45*(((E45+273)^4-(F45+273)^4)/((E45+273)-(F45+273))))</f>
        <v>9.6749470656415433</v>
      </c>
      <c r="L45" s="193">
        <f>IF(E45=0,"",1.74*ABS(E45-F45)^0.3333333)</f>
        <v>8.8144853830750485</v>
      </c>
      <c r="M45" s="192">
        <f>IF(E45=0,"",K45+L45)</f>
        <v>18.489432448716592</v>
      </c>
      <c r="N45" s="194">
        <f>IF(E45=0,"",M45*ABS(E45-F45))</f>
        <v>2403.6262183331569</v>
      </c>
      <c r="O45" s="79">
        <f>IF(E45=0,"",N45*H45*C45/1000)</f>
        <v>210557.65672598453</v>
      </c>
      <c r="P45" s="79">
        <f>IF(E45=0,"",O45*I45)</f>
        <v>7580.0756421354426</v>
      </c>
      <c r="Q45" s="585">
        <f>J45*O45/1000000</f>
        <v>42.532646658648879</v>
      </c>
      <c r="R45" s="121" t="s">
        <v>61</v>
      </c>
      <c r="S45" s="121" t="s">
        <v>23</v>
      </c>
      <c r="T45" s="587" t="s">
        <v>464</v>
      </c>
      <c r="U45" s="586"/>
      <c r="V45" s="586"/>
    </row>
    <row r="46" spans="1:22" s="16" customFormat="1">
      <c r="A46" s="804" t="s">
        <v>290</v>
      </c>
      <c r="B46" s="804"/>
      <c r="C46" s="255">
        <f t="shared" ref="C46:I47" si="0">C45</f>
        <v>10</v>
      </c>
      <c r="D46" s="255"/>
      <c r="E46" s="258">
        <f t="shared" si="0"/>
        <v>150</v>
      </c>
      <c r="F46" s="256">
        <f t="shared" si="0"/>
        <v>20</v>
      </c>
      <c r="G46" s="257">
        <f t="shared" si="0"/>
        <v>0.9</v>
      </c>
      <c r="H46" s="256">
        <f t="shared" si="0"/>
        <v>8760</v>
      </c>
      <c r="I46" s="257">
        <f t="shared" si="0"/>
        <v>3.5999999999999997E-2</v>
      </c>
      <c r="J46" s="582">
        <f>J45</f>
        <v>202</v>
      </c>
      <c r="K46" s="192">
        <f>IF(E46=0,"",$D$59*$G$45*(((E46+273)^4-(F46+273)^4)/((E46+273)-(F46+273))))</f>
        <v>9.6749470656415433</v>
      </c>
      <c r="L46" s="193">
        <f>IF(E46=0,"",1.74*ABS(E46-F46)^0.3333333)</f>
        <v>8.8144853830750485</v>
      </c>
      <c r="M46" s="192">
        <f>IF(E46=0,"",K46+L46)</f>
        <v>18.489432448716592</v>
      </c>
      <c r="N46" s="194">
        <f>ABS(E46-F46)/((E53+E54))</f>
        <v>272.99995749618728</v>
      </c>
      <c r="O46" s="259">
        <f>IF(E46=0,"",N46*H46*C46/1000)</f>
        <v>23914.796276666006</v>
      </c>
      <c r="P46" s="259">
        <f>IF(E46=0,"",O46*I46)</f>
        <v>860.93266595997613</v>
      </c>
      <c r="Q46" s="583">
        <f>J46*O46/1000000</f>
        <v>4.8307888478865335</v>
      </c>
      <c r="R46" s="79">
        <f>O45-O46</f>
        <v>186642.86044931854</v>
      </c>
      <c r="S46" s="79">
        <f>P45-P46</f>
        <v>6719.1429761754662</v>
      </c>
      <c r="T46" s="583">
        <f>Q45-Q46</f>
        <v>37.701857810762348</v>
      </c>
      <c r="U46" s="77"/>
      <c r="V46" s="77"/>
    </row>
    <row r="47" spans="1:22" s="16" customFormat="1">
      <c r="A47" s="804" t="s">
        <v>291</v>
      </c>
      <c r="B47" s="804"/>
      <c r="C47" s="255">
        <f t="shared" si="0"/>
        <v>10</v>
      </c>
      <c r="D47" s="255"/>
      <c r="E47" s="258">
        <f t="shared" si="0"/>
        <v>150</v>
      </c>
      <c r="F47" s="256">
        <f t="shared" si="0"/>
        <v>20</v>
      </c>
      <c r="G47" s="257">
        <f t="shared" si="0"/>
        <v>0.9</v>
      </c>
      <c r="H47" s="256">
        <f t="shared" si="0"/>
        <v>8760</v>
      </c>
      <c r="I47" s="257">
        <f t="shared" si="0"/>
        <v>3.5999999999999997E-2</v>
      </c>
      <c r="J47" s="582">
        <f>J46</f>
        <v>202</v>
      </c>
      <c r="K47" s="192">
        <f>IF(E47=0,"",$D$59*$G$45*(((E47+273)^4-(F47+273)^4)/((E47+273)-(F47+273))))</f>
        <v>9.6749470656415433</v>
      </c>
      <c r="L47" s="193">
        <f>IF(E47=0,"",1.74*ABS(E47-F47)^0.3333333)</f>
        <v>8.8144853830750485</v>
      </c>
      <c r="M47" s="192">
        <f>IF(E47=0,"",K47+L47)</f>
        <v>18.489432448716592</v>
      </c>
      <c r="N47" s="194">
        <f>ABS(E47-F47)/((F53+F54))</f>
        <v>49.064369290789969</v>
      </c>
      <c r="O47" s="259">
        <f>IF(E47=0,"",N47*H47*C47/1000)</f>
        <v>4298.0387498732016</v>
      </c>
      <c r="P47" s="259">
        <f>IF(E47=0,"",O47*I47)</f>
        <v>154.72939499543526</v>
      </c>
      <c r="Q47" s="583">
        <f>J47*O47/1000000</f>
        <v>0.86820382747438662</v>
      </c>
      <c r="R47" s="79">
        <f>O45-O47</f>
        <v>206259.61797611133</v>
      </c>
      <c r="S47" s="79">
        <f>P45-P47</f>
        <v>7425.3462471400071</v>
      </c>
      <c r="T47" s="583">
        <f>Q45-Q47</f>
        <v>41.66444283117449</v>
      </c>
      <c r="U47" s="77"/>
      <c r="V47" s="77"/>
    </row>
    <row r="48" spans="1:22" s="16" customFormat="1" ht="31.5">
      <c r="A48" s="56"/>
      <c r="B48" s="56"/>
      <c r="C48" s="238"/>
      <c r="D48" s="239"/>
      <c r="E48" s="240" t="s">
        <v>294</v>
      </c>
      <c r="F48" s="241" t="s">
        <v>295</v>
      </c>
      <c r="G48" s="242"/>
      <c r="H48" s="243"/>
      <c r="I48" s="242"/>
      <c r="J48" s="58"/>
      <c r="K48" s="59"/>
      <c r="L48" s="58"/>
      <c r="M48" s="78" t="s">
        <v>166</v>
      </c>
      <c r="N48" s="244"/>
      <c r="O48" s="637" t="s">
        <v>478</v>
      </c>
      <c r="P48" s="123"/>
      <c r="Q48" s="123"/>
      <c r="R48" s="36"/>
      <c r="S48" s="36"/>
      <c r="T48" s="36"/>
    </row>
    <row r="49" spans="1:21" s="16" customFormat="1" ht="15.75">
      <c r="A49" s="62"/>
      <c r="B49" s="56"/>
      <c r="C49" s="816" t="s">
        <v>51</v>
      </c>
      <c r="D49" s="817"/>
      <c r="E49" s="466">
        <f>(E45+(F45+35))/2</f>
        <v>102.5</v>
      </c>
      <c r="F49" s="466">
        <f>(E45+(F45+20))/2</f>
        <v>95</v>
      </c>
      <c r="G49" s="57"/>
      <c r="H49" s="57"/>
      <c r="I49" s="57"/>
      <c r="J49" s="58"/>
      <c r="K49" s="59"/>
      <c r="L49" s="58"/>
      <c r="M49" s="75"/>
      <c r="N49" s="75"/>
      <c r="O49" s="79">
        <f>O45*0.7</f>
        <v>147390.35970818915</v>
      </c>
      <c r="P49" s="79">
        <f>IF(E49=0,"",O49*I45)</f>
        <v>5306.0529494948087</v>
      </c>
      <c r="Q49" s="585">
        <f>J45*O49/1000000</f>
        <v>29.772852661054209</v>
      </c>
      <c r="R49" s="36"/>
      <c r="S49" s="36"/>
      <c r="T49" s="36"/>
    </row>
    <row r="50" spans="1:21" s="16" customFormat="1" ht="16.149999999999999" customHeight="1">
      <c r="A50" s="56"/>
      <c r="B50" s="56"/>
      <c r="C50" s="818" t="s">
        <v>52</v>
      </c>
      <c r="D50" s="819"/>
      <c r="E50" s="260">
        <f>C63+C64*E49+C65*E49^2+C66*E49^3</f>
        <v>4.7381508107812498E-2</v>
      </c>
      <c r="F50" s="260">
        <f>C63+C64*F49+C65*F49^2+C66*F49^3</f>
        <v>4.6233944137499997E-2</v>
      </c>
      <c r="G50" s="57"/>
      <c r="H50" s="57"/>
      <c r="I50" s="57"/>
      <c r="J50" s="58"/>
      <c r="K50" s="59"/>
      <c r="L50" s="58"/>
      <c r="M50" s="60"/>
      <c r="N50" s="129"/>
      <c r="O50" s="636">
        <f t="shared" ref="O50:Q51" si="1">O46</f>
        <v>23914.796276666006</v>
      </c>
      <c r="P50" s="636">
        <f t="shared" si="1"/>
        <v>860.93266595997613</v>
      </c>
      <c r="Q50" s="636">
        <f t="shared" si="1"/>
        <v>4.8307888478865335</v>
      </c>
      <c r="R50" s="79">
        <f>O49-O50</f>
        <v>123475.56343152314</v>
      </c>
      <c r="S50" s="79">
        <f>P49-P50</f>
        <v>4445.1202835348322</v>
      </c>
      <c r="T50" s="583">
        <f>Q49-Q50</f>
        <v>24.942063813167675</v>
      </c>
      <c r="U50" s="16" t="s">
        <v>168</v>
      </c>
    </row>
    <row r="51" spans="1:21" s="16" customFormat="1" ht="16.899999999999999" customHeight="1" thickBot="1">
      <c r="A51" s="56"/>
      <c r="B51" s="56"/>
      <c r="C51" s="820" t="s">
        <v>56</v>
      </c>
      <c r="D51" s="821"/>
      <c r="E51" s="172">
        <f>E50*C62</f>
        <v>7.1072262161718747E-2</v>
      </c>
      <c r="F51" s="172">
        <f>F50*C62</f>
        <v>6.9350916206250002E-2</v>
      </c>
      <c r="G51" s="57"/>
      <c r="H51" s="57"/>
      <c r="I51" s="57"/>
      <c r="J51" s="58"/>
      <c r="K51" s="59"/>
      <c r="L51" s="58"/>
      <c r="M51" s="60"/>
      <c r="N51" s="129"/>
      <c r="O51" s="636">
        <f t="shared" si="1"/>
        <v>4298.0387498732016</v>
      </c>
      <c r="P51" s="636">
        <f t="shared" si="1"/>
        <v>154.72939499543526</v>
      </c>
      <c r="Q51" s="636">
        <f t="shared" si="1"/>
        <v>0.86820382747438662</v>
      </c>
      <c r="R51" s="79">
        <f>O49-O51</f>
        <v>143092.32095831595</v>
      </c>
      <c r="S51" s="79">
        <f>P49-P51</f>
        <v>5151.3235544993731</v>
      </c>
      <c r="T51" s="583">
        <f>Q49-Q51</f>
        <v>28.904648833579824</v>
      </c>
    </row>
    <row r="52" spans="1:21" s="16" customFormat="1" ht="15.75" thickBot="1">
      <c r="A52" s="56"/>
      <c r="B52" s="56"/>
      <c r="C52" s="822" t="s">
        <v>350</v>
      </c>
      <c r="D52" s="823"/>
      <c r="E52" s="262">
        <f>IF((E45-F45)&lt;F63,G63/1000,IF((E45-F45)&lt;F64,G64/1000,IF((E45-F45)&lt;F65,(G65/1000),G66/1000)))</f>
        <v>0.03</v>
      </c>
      <c r="F52" s="262">
        <f>IF((E45-F45)&lt;F63,H63/1000,IF((E45-F45)&lt;F64,H64/1000,IF((E45-F45)&lt;F65,(H65/1000),H66/1000)))</f>
        <v>0.18</v>
      </c>
      <c r="G52" s="59" t="s">
        <v>46</v>
      </c>
      <c r="H52" s="57"/>
      <c r="I52" s="57"/>
      <c r="J52" s="58"/>
      <c r="K52" s="59"/>
      <c r="L52" s="58"/>
      <c r="M52" s="60"/>
      <c r="N52" s="123"/>
      <c r="O52" s="123"/>
      <c r="P52" s="129"/>
      <c r="Q52" s="129"/>
      <c r="R52" s="36"/>
      <c r="S52" s="36"/>
      <c r="T52" s="36"/>
    </row>
    <row r="53" spans="1:21" s="16" customFormat="1">
      <c r="A53" s="56"/>
      <c r="B53" s="56"/>
      <c r="C53" s="827" t="s">
        <v>159</v>
      </c>
      <c r="D53" s="828"/>
      <c r="E53" s="263">
        <f>1/M46</f>
        <v>5.4084948403562982E-2</v>
      </c>
      <c r="F53" s="263">
        <f>1/M47</f>
        <v>5.4084948403562982E-2</v>
      </c>
      <c r="G53" s="58" t="s">
        <v>57</v>
      </c>
      <c r="H53" s="57"/>
      <c r="I53" s="57"/>
      <c r="J53" s="58"/>
      <c r="K53" s="59"/>
      <c r="L53" s="58"/>
      <c r="M53" s="807" t="str">
        <f>IF(E55&gt;N46,"Insulation recommended","System_ok")</f>
        <v>Insulation recommended</v>
      </c>
      <c r="N53" s="808"/>
      <c r="O53" s="808"/>
      <c r="P53" s="808"/>
      <c r="Q53" s="808"/>
      <c r="R53" s="809"/>
      <c r="S53" s="36"/>
      <c r="T53" s="36"/>
    </row>
    <row r="54" spans="1:21" s="16" customFormat="1">
      <c r="A54" s="56"/>
      <c r="B54" s="56"/>
      <c r="C54" s="827" t="s">
        <v>165</v>
      </c>
      <c r="D54" s="828"/>
      <c r="E54" s="264">
        <f>E52/E51</f>
        <v>0.42210560192579222</v>
      </c>
      <c r="F54" s="264">
        <f>F52/F51</f>
        <v>2.5954956307235943</v>
      </c>
      <c r="G54" s="59"/>
      <c r="H54" s="57"/>
      <c r="I54" s="57"/>
      <c r="J54" s="58"/>
      <c r="K54" s="59"/>
      <c r="L54" s="58"/>
      <c r="M54" s="810"/>
      <c r="N54" s="811"/>
      <c r="O54" s="811"/>
      <c r="P54" s="811"/>
      <c r="Q54" s="811"/>
      <c r="R54" s="812"/>
      <c r="S54" s="36"/>
      <c r="T54" s="36"/>
    </row>
    <row r="55" spans="1:21" s="16" customFormat="1" ht="15.75" thickBot="1">
      <c r="A55" s="56"/>
      <c r="B55" s="56"/>
      <c r="C55" s="829" t="s">
        <v>113</v>
      </c>
      <c r="D55" s="830"/>
      <c r="E55" s="265">
        <f>N45-(10000*D69/I45/H45)</f>
        <v>2352.8905511591333</v>
      </c>
      <c r="F55" s="16" t="s">
        <v>108</v>
      </c>
      <c r="G55" s="16" t="s">
        <v>108</v>
      </c>
      <c r="H55" s="57"/>
      <c r="I55" s="57"/>
      <c r="J55" s="58"/>
      <c r="K55" s="59"/>
      <c r="L55" s="58"/>
      <c r="M55" s="813"/>
      <c r="N55" s="814"/>
      <c r="O55" s="814"/>
      <c r="P55" s="814"/>
      <c r="Q55" s="814"/>
      <c r="R55" s="815"/>
      <c r="S55" s="36"/>
      <c r="T55" s="36"/>
    </row>
    <row r="56" spans="1:21" s="16" customFormat="1">
      <c r="A56" s="56"/>
      <c r="B56" s="56"/>
      <c r="C56" s="56"/>
      <c r="D56" s="57"/>
      <c r="E56" s="58"/>
      <c r="F56" s="57"/>
      <c r="G56" s="57"/>
      <c r="H56" s="57"/>
      <c r="I56" s="57"/>
      <c r="J56" s="58"/>
      <c r="K56" s="59"/>
      <c r="L56" s="58"/>
      <c r="M56" s="60"/>
      <c r="N56" s="123"/>
      <c r="O56" s="123"/>
      <c r="P56" s="129"/>
      <c r="Q56" s="129"/>
      <c r="R56" s="36"/>
      <c r="S56" s="36"/>
      <c r="T56" s="36"/>
    </row>
    <row r="57" spans="1:21" s="16" customFormat="1" ht="15.75" thickBot="1">
      <c r="A57" s="832" t="s">
        <v>109</v>
      </c>
      <c r="B57" s="832"/>
      <c r="C57" s="832"/>
      <c r="D57" s="832"/>
      <c r="E57" s="832"/>
      <c r="F57" s="832"/>
      <c r="G57" s="832"/>
      <c r="H57" s="832"/>
      <c r="I57" s="832"/>
      <c r="J57" s="832"/>
      <c r="K57" s="832"/>
      <c r="L57" s="832"/>
      <c r="M57" s="832"/>
      <c r="N57" s="832"/>
      <c r="O57" s="832"/>
      <c r="P57" s="832"/>
      <c r="Q57" s="832"/>
      <c r="R57" s="832"/>
      <c r="S57" s="832"/>
      <c r="T57" s="832"/>
      <c r="U57" s="16" t="s">
        <v>82</v>
      </c>
    </row>
    <row r="58" spans="1:21" s="2" customFormat="1" ht="15.75" thickBot="1">
      <c r="A58" s="805" t="s">
        <v>162</v>
      </c>
      <c r="B58" s="806"/>
      <c r="C58" s="806"/>
      <c r="D58" s="254">
        <v>3.1415999999999999</v>
      </c>
      <c r="E58" s="132"/>
      <c r="F58" s="132"/>
      <c r="G58" s="132"/>
      <c r="H58" s="132"/>
      <c r="I58" s="132"/>
      <c r="J58" s="133"/>
      <c r="K58" s="134"/>
      <c r="L58" s="133"/>
      <c r="M58" s="135"/>
      <c r="N58" s="136"/>
      <c r="O58" s="136"/>
      <c r="P58" s="137"/>
      <c r="Q58" s="137"/>
      <c r="R58" s="138"/>
      <c r="S58" s="138"/>
      <c r="T58" s="138"/>
    </row>
    <row r="59" spans="1:21" s="2" customFormat="1" ht="15.75" thickBot="1">
      <c r="A59" s="831" t="s">
        <v>351</v>
      </c>
      <c r="B59" s="806"/>
      <c r="C59" s="806"/>
      <c r="D59" s="271">
        <v>5.6703669999999997E-8</v>
      </c>
      <c r="E59" s="132"/>
      <c r="F59" s="132"/>
      <c r="G59" s="132"/>
      <c r="H59" s="132"/>
      <c r="I59" s="132"/>
      <c r="J59" s="133"/>
      <c r="K59" s="134"/>
      <c r="L59" s="133"/>
      <c r="M59" s="135"/>
      <c r="N59" s="136"/>
      <c r="O59" s="136"/>
      <c r="P59" s="137"/>
      <c r="Q59" s="137"/>
      <c r="R59" s="138"/>
      <c r="S59" s="138"/>
      <c r="T59" s="138"/>
    </row>
    <row r="60" spans="1:21" s="2" customFormat="1" ht="15.75" thickBot="1">
      <c r="A60" s="120"/>
      <c r="B60" s="272"/>
      <c r="C60" s="272"/>
      <c r="D60" s="149"/>
      <c r="E60" s="132"/>
      <c r="F60" s="132"/>
      <c r="G60" s="132"/>
      <c r="H60" s="132"/>
      <c r="I60" s="132"/>
      <c r="J60" s="133"/>
      <c r="K60" s="134"/>
      <c r="L60" s="133"/>
      <c r="M60" s="135"/>
      <c r="N60" s="150"/>
      <c r="O60" s="150"/>
      <c r="P60" s="137"/>
      <c r="Q60" s="137"/>
      <c r="R60" s="138"/>
      <c r="S60" s="138"/>
      <c r="T60" s="138"/>
    </row>
    <row r="61" spans="1:21" s="2" customFormat="1" ht="15.75" thickBot="1">
      <c r="A61" s="131"/>
      <c r="B61" s="833" t="s">
        <v>110</v>
      </c>
      <c r="C61" s="834"/>
      <c r="D61" s="131"/>
      <c r="E61" s="835" t="s">
        <v>112</v>
      </c>
      <c r="F61" s="836"/>
      <c r="G61" s="837"/>
      <c r="H61" s="132"/>
      <c r="I61" s="132"/>
      <c r="J61" s="133"/>
      <c r="K61" s="134"/>
      <c r="L61" s="133"/>
      <c r="M61" s="135"/>
      <c r="N61" s="136"/>
      <c r="O61" s="136"/>
      <c r="P61" s="137"/>
      <c r="Q61" s="137"/>
      <c r="R61" s="138"/>
      <c r="S61" s="138"/>
      <c r="T61" s="138"/>
    </row>
    <row r="62" spans="1:21" s="2" customFormat="1" ht="15.75" thickBot="1">
      <c r="A62" s="120"/>
      <c r="B62" s="92" t="s">
        <v>53</v>
      </c>
      <c r="C62" s="250">
        <v>1.5</v>
      </c>
      <c r="D62" s="132"/>
      <c r="E62" s="69"/>
      <c r="F62" s="70" t="s">
        <v>65</v>
      </c>
      <c r="G62" s="99" t="s">
        <v>286</v>
      </c>
      <c r="H62" s="99" t="s">
        <v>287</v>
      </c>
      <c r="I62" s="133"/>
      <c r="J62" s="134"/>
      <c r="K62" s="133"/>
      <c r="L62" s="135"/>
      <c r="M62" s="136"/>
      <c r="N62" s="136"/>
      <c r="O62" s="137"/>
      <c r="P62" s="137"/>
      <c r="Q62" s="138"/>
      <c r="R62" s="138"/>
      <c r="S62" s="138"/>
      <c r="T62" s="139"/>
    </row>
    <row r="63" spans="1:21" s="2" customFormat="1">
      <c r="A63" s="120"/>
      <c r="B63" s="67" t="s">
        <v>47</v>
      </c>
      <c r="C63" s="90">
        <f>0.0338</f>
        <v>3.3799999999999997E-2</v>
      </c>
      <c r="D63" s="132"/>
      <c r="E63" s="71" t="s">
        <v>81</v>
      </c>
      <c r="F63" s="237">
        <v>80</v>
      </c>
      <c r="G63" s="98">
        <v>20</v>
      </c>
      <c r="H63" s="98">
        <v>100</v>
      </c>
      <c r="I63" s="133"/>
      <c r="J63" s="134"/>
      <c r="K63" s="133"/>
      <c r="L63" s="135"/>
      <c r="M63" s="136"/>
      <c r="N63" s="136"/>
      <c r="O63" s="137"/>
      <c r="P63" s="137"/>
      <c r="Q63" s="138"/>
      <c r="R63" s="138"/>
      <c r="S63" s="138"/>
      <c r="T63" s="139"/>
    </row>
    <row r="64" spans="1:21" s="2" customFormat="1">
      <c r="A64" s="120"/>
      <c r="B64" s="67" t="s">
        <v>48</v>
      </c>
      <c r="C64" s="90">
        <v>1.1730000000000001E-4</v>
      </c>
      <c r="D64" s="132"/>
      <c r="E64" s="71" t="s">
        <v>81</v>
      </c>
      <c r="F64" s="237">
        <v>150</v>
      </c>
      <c r="G64" s="98">
        <v>30</v>
      </c>
      <c r="H64" s="98">
        <v>180</v>
      </c>
      <c r="I64" s="133"/>
      <c r="J64" s="134"/>
      <c r="K64" s="133"/>
      <c r="L64" s="135"/>
      <c r="M64" s="136"/>
      <c r="N64" s="136"/>
      <c r="O64" s="137"/>
      <c r="P64" s="137"/>
      <c r="Q64" s="138"/>
      <c r="R64" s="138"/>
      <c r="S64" s="138"/>
      <c r="T64" s="139"/>
    </row>
    <row r="65" spans="1:27" s="2" customFormat="1">
      <c r="A65" s="120"/>
      <c r="B65" s="67" t="s">
        <v>49</v>
      </c>
      <c r="C65" s="90">
        <v>7.5450000000000004E-8</v>
      </c>
      <c r="D65" s="132"/>
      <c r="E65" s="71" t="s">
        <v>81</v>
      </c>
      <c r="F65" s="237">
        <v>250</v>
      </c>
      <c r="G65" s="98">
        <v>50</v>
      </c>
      <c r="H65" s="98">
        <v>250</v>
      </c>
      <c r="I65" s="133"/>
      <c r="J65" s="134"/>
      <c r="K65" s="133"/>
      <c r="L65" s="135"/>
      <c r="M65" s="136"/>
      <c r="N65" s="136"/>
      <c r="O65" s="137"/>
      <c r="P65" s="137"/>
      <c r="Q65" s="138"/>
      <c r="R65" s="138"/>
      <c r="S65" s="138"/>
      <c r="T65" s="139"/>
    </row>
    <row r="66" spans="1:27" customFormat="1" ht="15.75" thickBot="1">
      <c r="A66" s="66"/>
      <c r="B66" s="68" t="s">
        <v>50</v>
      </c>
      <c r="C66" s="91">
        <v>7.109E-10</v>
      </c>
      <c r="D66" s="132"/>
      <c r="E66" s="71" t="s">
        <v>81</v>
      </c>
      <c r="F66" s="237"/>
      <c r="G66" s="98">
        <v>80</v>
      </c>
      <c r="H66" s="98">
        <v>300</v>
      </c>
      <c r="I66" s="135"/>
      <c r="J66" s="139"/>
      <c r="K66" s="139"/>
      <c r="L66" s="137"/>
      <c r="M66" s="137"/>
      <c r="N66" s="139"/>
      <c r="O66" s="137"/>
      <c r="P66" s="140"/>
      <c r="Q66" s="138"/>
      <c r="R66" s="138"/>
      <c r="S66" s="138"/>
      <c r="T66" s="139"/>
    </row>
    <row r="67" spans="1:27" customFormat="1">
      <c r="A67" s="66"/>
      <c r="B67" s="148"/>
      <c r="C67" s="149"/>
      <c r="D67" s="132"/>
      <c r="E67" s="132"/>
      <c r="F67" s="133"/>
      <c r="G67" s="134"/>
      <c r="H67" s="133"/>
      <c r="I67" s="135"/>
      <c r="J67" s="139"/>
      <c r="K67" s="139"/>
      <c r="L67" s="137"/>
      <c r="M67" s="137"/>
      <c r="N67" s="139"/>
      <c r="O67" s="826" t="s">
        <v>142</v>
      </c>
      <c r="P67" s="826"/>
      <c r="Q67" s="826"/>
      <c r="R67" s="826"/>
      <c r="S67" s="826"/>
      <c r="T67" s="826"/>
    </row>
    <row r="68" spans="1:27" customFormat="1">
      <c r="A68" s="66"/>
      <c r="B68" s="152"/>
      <c r="C68" s="153"/>
      <c r="D68" s="154"/>
      <c r="E68" s="152"/>
      <c r="F68" s="152"/>
      <c r="G68" s="152"/>
      <c r="H68" s="133"/>
      <c r="I68" s="135"/>
      <c r="J68" s="139"/>
      <c r="K68" s="139"/>
      <c r="L68" s="137"/>
      <c r="M68" s="137"/>
      <c r="N68" s="139"/>
      <c r="O68" s="847" t="s">
        <v>143</v>
      </c>
      <c r="P68" s="847"/>
      <c r="Q68" s="847"/>
      <c r="R68" s="234">
        <v>80</v>
      </c>
      <c r="S68" s="196" t="s">
        <v>62</v>
      </c>
      <c r="T68" s="197"/>
    </row>
    <row r="69" spans="1:27" customFormat="1">
      <c r="A69" s="266"/>
      <c r="B69" s="267" t="s">
        <v>136</v>
      </c>
      <c r="C69" s="268"/>
      <c r="D69" s="269">
        <v>1.6</v>
      </c>
      <c r="E69" s="152"/>
      <c r="F69" s="152"/>
      <c r="G69" s="152"/>
      <c r="H69" s="133"/>
      <c r="I69" s="135"/>
      <c r="J69" s="139"/>
      <c r="K69" s="90"/>
      <c r="L69" s="137"/>
      <c r="M69" s="137"/>
      <c r="N69" s="139"/>
      <c r="O69" s="847" t="s">
        <v>144</v>
      </c>
      <c r="P69" s="847"/>
      <c r="Q69" s="847"/>
      <c r="R69" s="234">
        <v>250</v>
      </c>
      <c r="S69" s="196" t="s">
        <v>62</v>
      </c>
      <c r="T69" s="197"/>
    </row>
    <row r="70" spans="1:27" customFormat="1">
      <c r="A70" s="266"/>
      <c r="B70" s="267" t="s">
        <v>137</v>
      </c>
      <c r="C70" s="268"/>
      <c r="D70" s="269">
        <v>5</v>
      </c>
      <c r="E70" s="152"/>
      <c r="F70" s="152"/>
      <c r="G70" s="152"/>
      <c r="H70" s="133"/>
      <c r="I70" s="135"/>
      <c r="J70" s="139"/>
      <c r="K70" s="139"/>
      <c r="L70" s="137"/>
      <c r="M70" s="137"/>
      <c r="N70" s="139"/>
      <c r="O70" s="847" t="s">
        <v>64</v>
      </c>
      <c r="P70" s="847"/>
      <c r="Q70" s="847"/>
      <c r="R70" s="234">
        <v>5</v>
      </c>
      <c r="S70" s="196" t="s">
        <v>63</v>
      </c>
      <c r="T70" s="197"/>
    </row>
    <row r="71" spans="1:27" customFormat="1">
      <c r="A71" s="848" t="s">
        <v>86</v>
      </c>
      <c r="B71" s="848"/>
      <c r="C71" s="848"/>
      <c r="D71" s="270">
        <v>55</v>
      </c>
      <c r="E71" s="156" t="s">
        <v>22</v>
      </c>
      <c r="F71" s="133"/>
      <c r="G71" s="134"/>
      <c r="H71" s="133"/>
      <c r="I71" s="135"/>
      <c r="J71" s="139"/>
      <c r="K71" s="139"/>
      <c r="L71" s="137"/>
      <c r="M71" s="137"/>
      <c r="N71" s="139"/>
      <c r="O71" s="847" t="s">
        <v>146</v>
      </c>
      <c r="P71" s="847"/>
      <c r="Q71" s="847"/>
      <c r="R71" s="235">
        <f>0.1*R68/R70</f>
        <v>1.6</v>
      </c>
      <c r="S71" s="196"/>
      <c r="T71" s="197"/>
      <c r="U71" t="s">
        <v>114</v>
      </c>
    </row>
    <row r="72" spans="1:27" customFormat="1">
      <c r="A72" s="66"/>
      <c r="B72" s="148"/>
      <c r="C72" s="149"/>
      <c r="D72" s="132"/>
      <c r="E72" s="132"/>
      <c r="F72" s="133"/>
      <c r="G72" s="134"/>
      <c r="H72" s="133"/>
      <c r="I72" s="135"/>
      <c r="J72" s="139"/>
      <c r="K72" s="139"/>
      <c r="L72" s="137"/>
      <c r="M72" s="137"/>
      <c r="N72" s="139"/>
      <c r="O72" s="847" t="s">
        <v>147</v>
      </c>
      <c r="P72" s="847"/>
      <c r="Q72" s="847"/>
      <c r="R72" s="236">
        <f>0.1*R69/R70</f>
        <v>5</v>
      </c>
      <c r="S72" s="198"/>
      <c r="T72" s="197"/>
    </row>
    <row r="73" spans="1:27" customFormat="1">
      <c r="A73" s="66"/>
      <c r="B73" s="148"/>
      <c r="C73" s="149"/>
      <c r="D73" s="132"/>
      <c r="E73" s="132"/>
      <c r="F73" s="133"/>
      <c r="G73" s="134"/>
      <c r="H73" s="133"/>
      <c r="I73" s="135"/>
      <c r="J73" s="139"/>
      <c r="K73" s="139"/>
      <c r="L73" s="137"/>
      <c r="M73" s="137"/>
      <c r="N73" s="139"/>
      <c r="O73" s="251"/>
      <c r="P73" s="252"/>
      <c r="Q73" s="253"/>
      <c r="R73" s="253"/>
      <c r="S73" s="253"/>
      <c r="T73" s="197"/>
    </row>
    <row r="74" spans="1:27">
      <c r="A74" s="846" t="s">
        <v>42</v>
      </c>
      <c r="B74" s="846"/>
      <c r="C74" s="846"/>
      <c r="D74" s="846"/>
      <c r="E74" s="846"/>
      <c r="F74" s="846"/>
      <c r="G74" s="846"/>
      <c r="H74" s="846"/>
      <c r="I74" s="846"/>
      <c r="J74" s="846"/>
      <c r="K74" s="846"/>
      <c r="L74" s="846"/>
      <c r="M74" s="846"/>
      <c r="N74" s="846"/>
      <c r="O74" s="846"/>
      <c r="P74" s="846"/>
      <c r="Q74" s="846"/>
      <c r="R74" s="846"/>
      <c r="S74" s="846"/>
      <c r="T74" s="846"/>
      <c r="AA74" s="16"/>
    </row>
    <row r="76" spans="1:27" ht="23.25">
      <c r="A76" s="86" t="s">
        <v>66</v>
      </c>
    </row>
    <row r="77" spans="1:27" ht="23.25">
      <c r="A77" s="86" t="s">
        <v>67</v>
      </c>
    </row>
    <row r="78" spans="1:27" ht="23.25">
      <c r="A78" s="86" t="s">
        <v>87</v>
      </c>
    </row>
    <row r="79" spans="1:27" ht="23.25">
      <c r="A79" s="86" t="s">
        <v>68</v>
      </c>
      <c r="W79" s="17"/>
      <c r="X79" s="17"/>
      <c r="Y79" s="17"/>
      <c r="Z79" s="17"/>
    </row>
    <row r="80" spans="1:27" ht="23.25">
      <c r="A80" s="86" t="s">
        <v>69</v>
      </c>
      <c r="W80" s="17"/>
      <c r="X80" s="17"/>
      <c r="Y80" s="17"/>
      <c r="Z80" s="17"/>
    </row>
    <row r="81" spans="1:20" ht="23.25">
      <c r="A81" s="87" t="s">
        <v>293</v>
      </c>
      <c r="L81" s="17" t="s">
        <v>362</v>
      </c>
    </row>
    <row r="82" spans="1:20" ht="23.25">
      <c r="A82" s="88" t="s">
        <v>70</v>
      </c>
    </row>
    <row r="83" spans="1:20" ht="23.25">
      <c r="A83" s="87" t="s">
        <v>71</v>
      </c>
    </row>
    <row r="84" spans="1:20" ht="23.25">
      <c r="A84" s="85" t="s">
        <v>72</v>
      </c>
    </row>
    <row r="85" spans="1:20" ht="23.25">
      <c r="A85" s="85" t="s">
        <v>73</v>
      </c>
    </row>
    <row r="86" spans="1:20" ht="23.25">
      <c r="A86" s="85" t="s">
        <v>74</v>
      </c>
    </row>
    <row r="87" spans="1:20" ht="23.25">
      <c r="A87" s="86" t="s">
        <v>75</v>
      </c>
    </row>
    <row r="88" spans="1:20" ht="23.25">
      <c r="A88" s="64" t="s">
        <v>76</v>
      </c>
    </row>
    <row r="89" spans="1:20" ht="23.25">
      <c r="A89" s="64" t="s">
        <v>77</v>
      </c>
    </row>
    <row r="94" spans="1:20" ht="60">
      <c r="A94" s="802" t="s">
        <v>5</v>
      </c>
      <c r="B94" s="803"/>
      <c r="C94" s="471" t="s">
        <v>352</v>
      </c>
      <c r="D94" s="82"/>
      <c r="E94" s="82" t="s">
        <v>353</v>
      </c>
      <c r="F94" s="82" t="s">
        <v>354</v>
      </c>
      <c r="G94" s="82" t="s">
        <v>355</v>
      </c>
      <c r="H94" s="82" t="s">
        <v>356</v>
      </c>
      <c r="I94" s="82" t="s">
        <v>357</v>
      </c>
      <c r="J94" s="504" t="s">
        <v>13</v>
      </c>
      <c r="K94" s="83" t="s">
        <v>358</v>
      </c>
      <c r="L94" s="504" t="s">
        <v>26</v>
      </c>
      <c r="M94" s="78" t="s">
        <v>166</v>
      </c>
      <c r="N94" s="80" t="s">
        <v>84</v>
      </c>
      <c r="O94" s="80" t="s">
        <v>85</v>
      </c>
      <c r="P94" s="469" t="s">
        <v>60</v>
      </c>
      <c r="Q94" s="469"/>
      <c r="R94" s="857"/>
      <c r="S94" s="857"/>
      <c r="T94" s="857"/>
    </row>
    <row r="95" spans="1:20" ht="18.75">
      <c r="A95" s="804"/>
      <c r="B95" s="804"/>
      <c r="C95" s="255"/>
      <c r="D95" s="255"/>
      <c r="E95" s="256"/>
      <c r="F95" s="256"/>
      <c r="G95" s="257"/>
      <c r="H95" s="256"/>
      <c r="I95" s="257"/>
      <c r="J95" s="505">
        <v>1</v>
      </c>
      <c r="K95" s="505">
        <v>2</v>
      </c>
      <c r="L95" s="505">
        <v>3</v>
      </c>
      <c r="M95" s="505">
        <v>4</v>
      </c>
      <c r="N95" s="506">
        <v>5</v>
      </c>
      <c r="O95" s="506">
        <v>6</v>
      </c>
      <c r="P95" s="121" t="s">
        <v>61</v>
      </c>
      <c r="Q95" s="121" t="s">
        <v>23</v>
      </c>
      <c r="R95" s="858"/>
      <c r="S95" s="858"/>
      <c r="T95" s="858"/>
    </row>
    <row r="96" spans="1:20" ht="15.75">
      <c r="A96" s="804" t="s">
        <v>290</v>
      </c>
      <c r="B96" s="804"/>
      <c r="C96" s="255"/>
      <c r="D96" s="255"/>
      <c r="E96" s="258"/>
      <c r="F96" s="256"/>
      <c r="G96" s="257"/>
      <c r="H96" s="256"/>
      <c r="I96" s="257"/>
      <c r="J96" s="505">
        <v>1</v>
      </c>
      <c r="K96" s="505">
        <v>2</v>
      </c>
      <c r="L96" s="505">
        <v>3</v>
      </c>
      <c r="M96" s="259">
        <v>20</v>
      </c>
      <c r="N96" s="259">
        <v>5</v>
      </c>
      <c r="O96" s="259">
        <v>6</v>
      </c>
      <c r="P96" s="507">
        <v>26</v>
      </c>
      <c r="Q96" s="507">
        <v>28</v>
      </c>
      <c r="R96" s="467"/>
      <c r="S96" s="467"/>
      <c r="T96" s="467"/>
    </row>
    <row r="97" spans="1:20" ht="15.75">
      <c r="A97" s="804" t="s">
        <v>291</v>
      </c>
      <c r="B97" s="804"/>
      <c r="C97" s="255"/>
      <c r="D97" s="255"/>
      <c r="E97" s="258"/>
      <c r="F97" s="256"/>
      <c r="G97" s="257"/>
      <c r="H97" s="256"/>
      <c r="I97" s="257"/>
      <c r="J97" s="505">
        <v>1</v>
      </c>
      <c r="K97" s="505">
        <v>2</v>
      </c>
      <c r="L97" s="505">
        <v>3</v>
      </c>
      <c r="M97" s="259">
        <v>21</v>
      </c>
      <c r="N97" s="259">
        <v>5</v>
      </c>
      <c r="O97" s="259">
        <v>6</v>
      </c>
      <c r="P97" s="507">
        <v>27</v>
      </c>
      <c r="Q97" s="507">
        <v>29</v>
      </c>
      <c r="R97" s="467"/>
      <c r="S97" s="467"/>
      <c r="T97" s="467"/>
    </row>
    <row r="98" spans="1:20" ht="31.5">
      <c r="A98" s="56"/>
      <c r="B98" s="56"/>
      <c r="C98" s="238"/>
      <c r="D98" s="239"/>
      <c r="E98" s="240" t="s">
        <v>294</v>
      </c>
      <c r="F98" s="241" t="s">
        <v>295</v>
      </c>
      <c r="G98" s="242"/>
      <c r="H98" s="243"/>
      <c r="I98" s="242"/>
      <c r="J98" s="58"/>
      <c r="K98" s="59"/>
      <c r="L98" s="58"/>
      <c r="M98" s="78" t="s">
        <v>166</v>
      </c>
      <c r="N98" s="470"/>
      <c r="O98" s="470"/>
      <c r="P98" s="123"/>
      <c r="Q98" s="123"/>
      <c r="R98" s="467"/>
      <c r="S98" s="467"/>
      <c r="T98" s="467"/>
    </row>
    <row r="99" spans="1:20" ht="18.75">
      <c r="A99" s="62"/>
      <c r="B99" s="56"/>
      <c r="C99" s="871" t="s">
        <v>51</v>
      </c>
      <c r="D99" s="872"/>
      <c r="E99" s="505">
        <v>7</v>
      </c>
      <c r="F99" s="505">
        <v>8</v>
      </c>
      <c r="G99" s="57"/>
      <c r="H99" s="57"/>
      <c r="I99" s="57"/>
      <c r="J99" s="58"/>
      <c r="K99" s="59"/>
      <c r="L99" s="58"/>
      <c r="M99" s="75"/>
      <c r="N99" s="75"/>
      <c r="O99" s="75"/>
      <c r="P99" s="468"/>
      <c r="Q99" s="468"/>
      <c r="R99" s="467"/>
      <c r="S99" s="467"/>
      <c r="T99" s="467"/>
    </row>
    <row r="100" spans="1:20" ht="15.75">
      <c r="A100" s="56"/>
      <c r="B100" s="56"/>
      <c r="C100" s="871" t="s">
        <v>360</v>
      </c>
      <c r="D100" s="872"/>
      <c r="E100" s="505">
        <v>9</v>
      </c>
      <c r="F100" s="505">
        <v>10</v>
      </c>
      <c r="G100" s="57"/>
      <c r="H100" s="57"/>
      <c r="I100" s="57"/>
      <c r="J100" s="58"/>
      <c r="K100" s="59"/>
      <c r="L100" s="58"/>
      <c r="M100" s="60"/>
      <c r="N100" s="129"/>
      <c r="O100" s="129"/>
      <c r="P100" s="123"/>
      <c r="Q100" s="123"/>
      <c r="R100" s="467"/>
      <c r="S100" s="467"/>
      <c r="T100" s="467"/>
    </row>
    <row r="101" spans="1:20" ht="16.5" thickBot="1">
      <c r="A101" s="56"/>
      <c r="B101" s="56"/>
      <c r="C101" s="873" t="s">
        <v>359</v>
      </c>
      <c r="D101" s="874"/>
      <c r="E101" s="505">
        <v>11</v>
      </c>
      <c r="F101" s="505">
        <v>12</v>
      </c>
      <c r="G101" s="57"/>
      <c r="H101" s="57"/>
      <c r="I101" s="57"/>
      <c r="J101" s="58"/>
      <c r="K101" s="59"/>
      <c r="L101" s="58"/>
      <c r="M101" s="60"/>
      <c r="N101" s="129"/>
      <c r="O101" s="129"/>
      <c r="P101" s="123"/>
      <c r="Q101" s="123"/>
      <c r="R101" s="467"/>
      <c r="S101" s="467"/>
      <c r="T101" s="467"/>
    </row>
    <row r="102" spans="1:20" ht="16.5" thickBot="1">
      <c r="A102" s="56"/>
      <c r="B102" s="56"/>
      <c r="C102" s="822" t="s">
        <v>361</v>
      </c>
      <c r="D102" s="823"/>
      <c r="E102" s="505">
        <v>13</v>
      </c>
      <c r="F102" s="505">
        <v>14</v>
      </c>
      <c r="G102" s="59" t="s">
        <v>46</v>
      </c>
      <c r="H102" s="57"/>
      <c r="I102" s="57"/>
      <c r="J102" s="58"/>
      <c r="K102" s="59"/>
      <c r="L102" s="58"/>
      <c r="M102" s="60"/>
      <c r="N102" s="123"/>
      <c r="O102" s="123"/>
      <c r="P102" s="129"/>
      <c r="Q102" s="129"/>
      <c r="R102" s="467"/>
      <c r="S102" s="467"/>
      <c r="T102" s="467"/>
    </row>
    <row r="103" spans="1:20" ht="15.75">
      <c r="A103" s="56"/>
      <c r="B103" s="56"/>
      <c r="C103" s="859" t="s">
        <v>159</v>
      </c>
      <c r="D103" s="860"/>
      <c r="E103" s="505">
        <v>15</v>
      </c>
      <c r="F103" s="505">
        <v>16</v>
      </c>
      <c r="G103" s="58" t="s">
        <v>57</v>
      </c>
      <c r="H103" s="57"/>
      <c r="I103" s="57"/>
      <c r="J103" s="58"/>
      <c r="K103" s="59"/>
      <c r="L103" s="58"/>
      <c r="M103" s="861">
        <v>30</v>
      </c>
      <c r="N103" s="862"/>
      <c r="O103" s="862"/>
      <c r="P103" s="862"/>
      <c r="Q103" s="862"/>
      <c r="R103" s="863"/>
      <c r="S103" s="467"/>
      <c r="T103" s="467"/>
    </row>
    <row r="104" spans="1:20" ht="15.75">
      <c r="A104" s="56"/>
      <c r="B104" s="56"/>
      <c r="C104" s="859" t="s">
        <v>165</v>
      </c>
      <c r="D104" s="860"/>
      <c r="E104" s="505">
        <v>17</v>
      </c>
      <c r="F104" s="505">
        <v>18</v>
      </c>
      <c r="G104" s="59"/>
      <c r="H104" s="57"/>
      <c r="I104" s="57"/>
      <c r="J104" s="58"/>
      <c r="K104" s="59"/>
      <c r="L104" s="58"/>
      <c r="M104" s="864"/>
      <c r="N104" s="865"/>
      <c r="O104" s="865"/>
      <c r="P104" s="865"/>
      <c r="Q104" s="865"/>
      <c r="R104" s="866"/>
      <c r="S104" s="467"/>
      <c r="T104" s="467"/>
    </row>
    <row r="105" spans="1:20" ht="16.5" thickBot="1">
      <c r="A105" s="56"/>
      <c r="B105" s="56"/>
      <c r="C105" s="870" t="s">
        <v>113</v>
      </c>
      <c r="D105" s="830"/>
      <c r="E105" s="505">
        <v>19</v>
      </c>
      <c r="F105" s="16" t="s">
        <v>108</v>
      </c>
      <c r="G105" s="16" t="s">
        <v>108</v>
      </c>
      <c r="H105" s="57"/>
      <c r="I105" s="57"/>
      <c r="J105" s="58"/>
      <c r="K105" s="59"/>
      <c r="L105" s="58"/>
      <c r="M105" s="867"/>
      <c r="N105" s="868"/>
      <c r="O105" s="868"/>
      <c r="P105" s="868"/>
      <c r="Q105" s="868"/>
      <c r="R105" s="869"/>
      <c r="S105" s="467"/>
      <c r="T105" s="467"/>
    </row>
  </sheetData>
  <mergeCells count="72">
    <mergeCell ref="C103:D103"/>
    <mergeCell ref="M103:R105"/>
    <mergeCell ref="C104:D104"/>
    <mergeCell ref="C105:D105"/>
    <mergeCell ref="A97:B97"/>
    <mergeCell ref="C99:D99"/>
    <mergeCell ref="C100:D100"/>
    <mergeCell ref="C101:D101"/>
    <mergeCell ref="C102:D102"/>
    <mergeCell ref="A94:B94"/>
    <mergeCell ref="R94:T94"/>
    <mergeCell ref="A95:B95"/>
    <mergeCell ref="R95:T95"/>
    <mergeCell ref="A96:B96"/>
    <mergeCell ref="P43:Q43"/>
    <mergeCell ref="C13:E14"/>
    <mergeCell ref="C25:E26"/>
    <mergeCell ref="C21:E22"/>
    <mergeCell ref="P8:P9"/>
    <mergeCell ref="F13:G14"/>
    <mergeCell ref="F25:G26"/>
    <mergeCell ref="H25:H26"/>
    <mergeCell ref="F21:G22"/>
    <mergeCell ref="H21:H22"/>
    <mergeCell ref="M14:N17"/>
    <mergeCell ref="O18:O19"/>
    <mergeCell ref="P18:P19"/>
    <mergeCell ref="O20:O21"/>
    <mergeCell ref="P20:P21"/>
    <mergeCell ref="M25:P27"/>
    <mergeCell ref="A74:T74"/>
    <mergeCell ref="O70:Q70"/>
    <mergeCell ref="O72:Q72"/>
    <mergeCell ref="O68:Q68"/>
    <mergeCell ref="O69:Q69"/>
    <mergeCell ref="O71:Q71"/>
    <mergeCell ref="A71:C71"/>
    <mergeCell ref="N5:O6"/>
    <mergeCell ref="Q14:R15"/>
    <mergeCell ref="O16:P17"/>
    <mergeCell ref="Q16:R17"/>
    <mergeCell ref="C17:E18"/>
    <mergeCell ref="F17:G18"/>
    <mergeCell ref="M18:N21"/>
    <mergeCell ref="Q18:R19"/>
    <mergeCell ref="Q20:R21"/>
    <mergeCell ref="C5:E6"/>
    <mergeCell ref="K5:M6"/>
    <mergeCell ref="K8:M9"/>
    <mergeCell ref="G5:J6"/>
    <mergeCell ref="O14:P15"/>
    <mergeCell ref="H13:H14"/>
    <mergeCell ref="N8:O9"/>
    <mergeCell ref="O67:T67"/>
    <mergeCell ref="C53:D53"/>
    <mergeCell ref="C54:D54"/>
    <mergeCell ref="C55:D55"/>
    <mergeCell ref="A59:C59"/>
    <mergeCell ref="A57:T57"/>
    <mergeCell ref="B61:C61"/>
    <mergeCell ref="E61:G61"/>
    <mergeCell ref="A44:B44"/>
    <mergeCell ref="A45:B45"/>
    <mergeCell ref="A58:C58"/>
    <mergeCell ref="A46:B46"/>
    <mergeCell ref="M53:R55"/>
    <mergeCell ref="C49:D49"/>
    <mergeCell ref="C50:D50"/>
    <mergeCell ref="C51:D51"/>
    <mergeCell ref="C52:D52"/>
    <mergeCell ref="A47:B47"/>
    <mergeCell ref="R44:T44"/>
  </mergeCells>
  <conditionalFormatting sqref="F25:G26">
    <cfRule type="cellIs" dxfId="11" priority="1" operator="greaterThan">
      <formula>55</formula>
    </cfRule>
  </conditionalFormatting>
  <dataValidations count="1">
    <dataValidation type="list" allowBlank="1" showInputMessage="1" showErrorMessage="1" promptTitle="Select a value " sqref="F17">
      <formula1>emissivity</formula1>
    </dataValidation>
  </dataValidations>
  <pageMargins left="0.7" right="0.7" top="0.75" bottom="0.75" header="0.3" footer="0.3"/>
  <pageSetup orientation="portrait" r:id="rId1"/>
  <drawing r:id="rId2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1A9FFB0-E9C4-4F61-A660-8B63B5225B91}">
          <x14:formula1>
            <xm:f>'Default values '!$C$2:$C$10</xm:f>
          </x14:formula1>
          <xm:sqref>N5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dimension ref="A1:AA129"/>
  <sheetViews>
    <sheetView topLeftCell="A31" workbookViewId="0">
      <selection activeCell="O52" sqref="O52"/>
    </sheetView>
  </sheetViews>
  <sheetFormatPr baseColWidth="10" defaultColWidth="8.85546875" defaultRowHeight="15"/>
  <cols>
    <col min="1" max="2" width="5.28515625" style="17" customWidth="1"/>
    <col min="3" max="3" width="15.42578125" style="17" customWidth="1"/>
    <col min="4" max="4" width="8.7109375" style="17" customWidth="1"/>
    <col min="5" max="5" width="6.28515625" style="17" customWidth="1"/>
    <col min="6" max="6" width="7.7109375" style="17" customWidth="1"/>
    <col min="7" max="11" width="8.7109375" style="17" customWidth="1"/>
    <col min="12" max="12" width="6.85546875" style="17" customWidth="1"/>
    <col min="13" max="13" width="11.28515625" style="17" customWidth="1"/>
    <col min="14" max="14" width="8.7109375" style="17" customWidth="1"/>
    <col min="15" max="15" width="11" style="17" customWidth="1"/>
    <col min="16" max="16" width="11.5703125" style="17" customWidth="1"/>
    <col min="17" max="17" width="8.7109375" style="17" customWidth="1"/>
    <col min="18" max="18" width="5.7109375" style="17" customWidth="1"/>
    <col min="19" max="19" width="6.5703125" style="17" customWidth="1"/>
    <col min="20" max="24" width="8.85546875" style="16"/>
    <col min="25" max="16384" width="8.85546875" style="17"/>
  </cols>
  <sheetData>
    <row r="1" spans="1:24" ht="1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24" ht="15" customHeight="1">
      <c r="A2" s="4"/>
      <c r="B2" s="15"/>
      <c r="C2" s="15"/>
      <c r="D2" s="15"/>
      <c r="E2" s="15"/>
      <c r="F2" s="1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U2" s="157"/>
    </row>
    <row r="3" spans="1:24" ht="3.6" customHeight="1">
      <c r="A3" s="4"/>
      <c r="B3" s="21"/>
      <c r="C3" s="21"/>
      <c r="D3" s="21"/>
      <c r="E3" s="21"/>
      <c r="F3" s="21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"/>
      <c r="U3" s="157"/>
    </row>
    <row r="4" spans="1:24" ht="5.4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24"/>
      <c r="U4" s="157"/>
    </row>
    <row r="5" spans="1:24" s="23" customFormat="1" ht="15" customHeight="1">
      <c r="A5" s="26"/>
      <c r="B5" s="28"/>
      <c r="C5" s="797" t="s">
        <v>15</v>
      </c>
      <c r="D5" s="797"/>
      <c r="E5" s="797"/>
      <c r="F5" s="32" t="s">
        <v>37</v>
      </c>
      <c r="G5" s="275" t="s">
        <v>322</v>
      </c>
      <c r="H5" s="275"/>
      <c r="I5" s="275"/>
      <c r="J5" s="275"/>
      <c r="K5" s="799" t="s">
        <v>14</v>
      </c>
      <c r="L5" s="799"/>
      <c r="M5" s="799"/>
      <c r="N5" s="838" t="s">
        <v>33</v>
      </c>
      <c r="O5" s="838"/>
      <c r="P5" s="32">
        <f>VLOOKUP(N5,'Default values '!C2:D10,2,TRUE)</f>
        <v>8760</v>
      </c>
      <c r="Q5" s="28"/>
      <c r="R5" s="28"/>
      <c r="S5" s="28"/>
      <c r="T5" s="25"/>
      <c r="U5" s="377"/>
      <c r="V5" s="22"/>
      <c r="W5" s="22"/>
      <c r="X5" s="22"/>
    </row>
    <row r="6" spans="1:24" ht="15" customHeight="1">
      <c r="A6" s="4"/>
      <c r="B6" s="14"/>
      <c r="C6" s="797"/>
      <c r="D6" s="797"/>
      <c r="E6" s="797"/>
      <c r="F6" s="32"/>
      <c r="G6" s="275"/>
      <c r="H6" s="275"/>
      <c r="I6" s="275"/>
      <c r="J6" s="275"/>
      <c r="K6" s="799"/>
      <c r="L6" s="799"/>
      <c r="M6" s="799"/>
      <c r="N6" s="838"/>
      <c r="O6" s="838"/>
      <c r="P6" s="14"/>
      <c r="Q6" s="14"/>
      <c r="R6" s="14"/>
      <c r="S6" s="14"/>
    </row>
    <row r="7" spans="1:24" ht="15" customHeight="1">
      <c r="A7" s="4"/>
      <c r="B7" s="14"/>
      <c r="C7" s="39"/>
      <c r="D7" s="39"/>
      <c r="E7" s="39"/>
      <c r="F7" s="42"/>
      <c r="G7" s="276"/>
      <c r="H7" s="276"/>
      <c r="I7" s="276"/>
      <c r="J7" s="276"/>
      <c r="K7" s="14"/>
      <c r="L7" s="14"/>
      <c r="M7" s="14"/>
      <c r="N7" s="14"/>
      <c r="O7" s="14"/>
      <c r="P7" s="14"/>
      <c r="Q7" s="14"/>
      <c r="R7" s="14"/>
      <c r="S7" s="14"/>
    </row>
    <row r="8" spans="1:24" ht="15" customHeight="1">
      <c r="A8" s="4"/>
      <c r="B8" s="14"/>
      <c r="C8" s="39"/>
      <c r="D8" s="39"/>
      <c r="E8" s="39"/>
      <c r="F8" s="42"/>
      <c r="G8" s="276"/>
      <c r="H8" s="276"/>
      <c r="I8" s="276"/>
      <c r="J8" s="276"/>
      <c r="K8" s="799"/>
      <c r="L8" s="799"/>
      <c r="M8" s="799"/>
      <c r="N8" s="801"/>
      <c r="O8" s="801"/>
      <c r="P8" s="793"/>
      <c r="Q8" s="14"/>
      <c r="R8" s="14"/>
      <c r="S8" s="14"/>
    </row>
    <row r="9" spans="1:24" s="23" customFormat="1" ht="15" customHeight="1">
      <c r="A9" s="4"/>
      <c r="B9" s="14"/>
      <c r="C9" s="39"/>
      <c r="D9" s="39"/>
      <c r="E9" s="39"/>
      <c r="F9" s="42"/>
      <c r="G9" s="276"/>
      <c r="H9" s="276"/>
      <c r="I9" s="276"/>
      <c r="J9" s="276"/>
      <c r="K9" s="799"/>
      <c r="L9" s="799"/>
      <c r="M9" s="799"/>
      <c r="N9" s="801"/>
      <c r="O9" s="801"/>
      <c r="P9" s="793"/>
      <c r="Q9" s="26"/>
      <c r="R9" s="26"/>
      <c r="S9" s="26"/>
      <c r="T9" s="22"/>
      <c r="U9" s="22"/>
      <c r="V9" s="22"/>
      <c r="W9" s="22"/>
      <c r="X9" s="22"/>
    </row>
    <row r="10" spans="1:24" ht="15" customHeight="1">
      <c r="A10" s="4"/>
      <c r="B10" s="14"/>
      <c r="C10" s="39"/>
      <c r="D10" s="39"/>
      <c r="E10" s="39"/>
      <c r="F10" s="42"/>
      <c r="G10" s="42"/>
      <c r="H10" s="42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24" ht="15" customHeight="1" thickBot="1">
      <c r="A11" s="4"/>
      <c r="B11" s="14"/>
      <c r="C11" s="14"/>
      <c r="D11" s="14"/>
      <c r="E11" s="14"/>
      <c r="F11" s="14"/>
      <c r="G11" s="14"/>
      <c r="H11" s="1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24" ht="15" customHeight="1" thickTop="1">
      <c r="A12" s="4"/>
      <c r="B12" s="29"/>
      <c r="C12" s="30"/>
      <c r="D12" s="30"/>
      <c r="E12" s="30"/>
      <c r="F12" s="30"/>
      <c r="G12" s="30"/>
      <c r="H12" s="30"/>
      <c r="I12" s="6"/>
      <c r="J12" s="6"/>
      <c r="K12" s="48"/>
      <c r="L12" s="4"/>
      <c r="M12" s="15"/>
      <c r="N12" s="15"/>
      <c r="O12" s="15"/>
      <c r="P12" s="15"/>
      <c r="Q12" s="15"/>
      <c r="R12" s="15"/>
      <c r="S12" s="4"/>
    </row>
    <row r="13" spans="1:24" s="23" customFormat="1" ht="15" customHeight="1">
      <c r="A13" s="26"/>
      <c r="B13" s="31"/>
      <c r="C13" s="901" t="s">
        <v>394</v>
      </c>
      <c r="D13" s="902">
        <v>150</v>
      </c>
      <c r="E13" s="902"/>
      <c r="F13" s="793"/>
      <c r="G13" s="799" t="s">
        <v>45</v>
      </c>
      <c r="H13" s="799"/>
      <c r="I13" s="896">
        <v>1</v>
      </c>
      <c r="J13" s="896"/>
      <c r="K13" s="900" t="s">
        <v>46</v>
      </c>
      <c r="L13" s="26"/>
      <c r="M13" s="41"/>
      <c r="N13" s="41"/>
      <c r="O13" s="41"/>
      <c r="P13" s="41"/>
      <c r="Q13" s="41"/>
      <c r="R13" s="41"/>
      <c r="S13" s="26"/>
      <c r="T13" s="22"/>
      <c r="U13" s="22"/>
      <c r="V13" s="22"/>
      <c r="W13" s="22"/>
      <c r="X13" s="22"/>
    </row>
    <row r="14" spans="1:24" ht="15" customHeight="1">
      <c r="A14" s="4"/>
      <c r="B14" s="8"/>
      <c r="C14" s="901"/>
      <c r="D14" s="902"/>
      <c r="E14" s="902"/>
      <c r="F14" s="793"/>
      <c r="G14" s="799"/>
      <c r="H14" s="799"/>
      <c r="I14" s="896"/>
      <c r="J14" s="896"/>
      <c r="K14" s="900"/>
      <c r="L14" s="26"/>
      <c r="M14" s="903" t="s">
        <v>163</v>
      </c>
      <c r="N14" s="903"/>
      <c r="O14" s="845">
        <f>IF(F25=0,"",S45)</f>
        <v>9829.9404314318144</v>
      </c>
      <c r="P14" s="845"/>
      <c r="Q14" s="839" t="str">
        <f>IF(F25="","","kWh/a")</f>
        <v>kWh/a</v>
      </c>
      <c r="R14" s="839"/>
      <c r="S14" s="4"/>
    </row>
    <row r="15" spans="1:24" ht="15" customHeight="1">
      <c r="A15" s="4"/>
      <c r="B15" s="8"/>
      <c r="C15" s="4"/>
      <c r="D15" s="4"/>
      <c r="E15" s="4"/>
      <c r="F15" s="33"/>
      <c r="G15" s="33"/>
      <c r="H15" s="4"/>
      <c r="I15" s="15"/>
      <c r="J15" s="15"/>
      <c r="K15" s="40"/>
      <c r="L15" s="15"/>
      <c r="M15" s="903"/>
      <c r="N15" s="903"/>
      <c r="O15" s="845"/>
      <c r="P15" s="845"/>
      <c r="Q15" s="839"/>
      <c r="R15" s="839"/>
      <c r="S15" s="4"/>
    </row>
    <row r="16" spans="1:24" ht="15" customHeight="1">
      <c r="A16" s="4"/>
      <c r="B16" s="8"/>
      <c r="C16" s="4"/>
      <c r="D16" s="4"/>
      <c r="E16" s="4"/>
      <c r="F16" s="33"/>
      <c r="G16" s="33"/>
      <c r="H16" s="4"/>
      <c r="I16" s="27"/>
      <c r="J16" s="27"/>
      <c r="K16" s="40"/>
      <c r="L16" s="27"/>
      <c r="M16" s="903"/>
      <c r="N16" s="903"/>
      <c r="O16" s="840">
        <f>IF(F25=0,"",T45)</f>
        <v>353.87785553154526</v>
      </c>
      <c r="P16" s="840"/>
      <c r="Q16" s="841" t="str">
        <f>IF(F25=0,"","€/a")</f>
        <v>€/a</v>
      </c>
      <c r="R16" s="841"/>
      <c r="S16" s="4"/>
    </row>
    <row r="17" spans="1:24" s="23" customFormat="1" ht="15" customHeight="1">
      <c r="A17" s="26"/>
      <c r="B17" s="31"/>
      <c r="C17" s="793" t="s">
        <v>99</v>
      </c>
      <c r="D17" s="793"/>
      <c r="E17" s="793"/>
      <c r="F17" s="838" t="s">
        <v>329</v>
      </c>
      <c r="G17" s="838"/>
      <c r="H17" s="47">
        <f>IF(F17="","",VLOOKUP(F17,'Default values '!A2:B7,2,FALSE))</f>
        <v>0.9</v>
      </c>
      <c r="I17" s="27"/>
      <c r="J17" s="27"/>
      <c r="K17" s="46"/>
      <c r="L17" s="27"/>
      <c r="M17" s="903"/>
      <c r="N17" s="903"/>
      <c r="O17" s="840"/>
      <c r="P17" s="840"/>
      <c r="Q17" s="841"/>
      <c r="R17" s="841"/>
      <c r="S17" s="26"/>
      <c r="T17" s="22"/>
      <c r="U17" s="22"/>
      <c r="V17" s="22"/>
      <c r="W17" s="22"/>
      <c r="X17" s="22"/>
    </row>
    <row r="18" spans="1:24" ht="15" customHeight="1">
      <c r="A18" s="4"/>
      <c r="B18" s="8"/>
      <c r="C18" s="793"/>
      <c r="D18" s="793"/>
      <c r="E18" s="793"/>
      <c r="F18" s="838"/>
      <c r="G18" s="838"/>
      <c r="H18" s="15"/>
      <c r="I18" s="4"/>
      <c r="J18" s="4"/>
      <c r="K18" s="9"/>
      <c r="L18" s="4"/>
      <c r="M18" s="897" t="s">
        <v>164</v>
      </c>
      <c r="N18" s="897"/>
      <c r="O18" s="892">
        <f>IF(F25=0,"",U46)</f>
        <v>7836.9267856201641</v>
      </c>
      <c r="P18" s="892">
        <f>IF(F25=0,"",U47)</f>
        <v>9401.3395452341028</v>
      </c>
      <c r="Q18" s="898" t="str">
        <f>IF(O18="","","kWh/a")</f>
        <v>kWh/a</v>
      </c>
      <c r="R18" s="898"/>
      <c r="S18" s="4"/>
    </row>
    <row r="19" spans="1:24" ht="15" customHeight="1">
      <c r="A19" s="4"/>
      <c r="B19" s="8"/>
      <c r="C19" s="15"/>
      <c r="D19" s="15"/>
      <c r="E19" s="15"/>
      <c r="F19" s="33"/>
      <c r="G19" s="33"/>
      <c r="H19" s="15"/>
      <c r="I19" s="4"/>
      <c r="J19" s="4"/>
      <c r="K19" s="9"/>
      <c r="L19" s="4"/>
      <c r="M19" s="897"/>
      <c r="N19" s="897"/>
      <c r="O19" s="892"/>
      <c r="P19" s="892"/>
      <c r="Q19" s="898"/>
      <c r="R19" s="898"/>
      <c r="S19" s="4"/>
    </row>
    <row r="20" spans="1:24" ht="15" customHeight="1">
      <c r="A20" s="4"/>
      <c r="B20" s="8"/>
      <c r="C20" s="4"/>
      <c r="D20" s="4"/>
      <c r="E20" s="4"/>
      <c r="F20" s="33"/>
      <c r="G20" s="33"/>
      <c r="H20" s="4"/>
      <c r="I20" s="4"/>
      <c r="J20" s="4"/>
      <c r="K20" s="9"/>
      <c r="L20" s="4"/>
      <c r="M20" s="897"/>
      <c r="N20" s="897"/>
      <c r="O20" s="893">
        <f>IF(F25=0,"",V46)</f>
        <v>282.12936428232587</v>
      </c>
      <c r="P20" s="893">
        <f>IF(F25=0,"",V47)</f>
        <v>338.44822362842763</v>
      </c>
      <c r="Q20" s="899" t="str">
        <f>IF(F25=0,"","€/a")</f>
        <v>€/a</v>
      </c>
      <c r="R20" s="899"/>
      <c r="S20" s="4"/>
    </row>
    <row r="21" spans="1:24" s="23" customFormat="1" ht="15" customHeight="1">
      <c r="A21" s="26"/>
      <c r="B21" s="31"/>
      <c r="C21" s="793" t="s">
        <v>36</v>
      </c>
      <c r="D21" s="793"/>
      <c r="E21" s="793"/>
      <c r="F21" s="850">
        <v>20</v>
      </c>
      <c r="G21" s="850"/>
      <c r="H21" s="793" t="s">
        <v>22</v>
      </c>
      <c r="I21" s="26"/>
      <c r="J21" s="26"/>
      <c r="K21" s="46"/>
      <c r="L21" s="26"/>
      <c r="M21" s="897"/>
      <c r="N21" s="897"/>
      <c r="O21" s="893"/>
      <c r="P21" s="893"/>
      <c r="Q21" s="899"/>
      <c r="R21" s="899"/>
      <c r="S21" s="26"/>
      <c r="T21" s="22"/>
      <c r="U21" s="22"/>
      <c r="V21" s="22"/>
      <c r="W21" s="22"/>
      <c r="X21" s="22"/>
    </row>
    <row r="22" spans="1:24" ht="15" customHeight="1">
      <c r="A22" s="4"/>
      <c r="B22" s="8"/>
      <c r="C22" s="793"/>
      <c r="D22" s="793"/>
      <c r="E22" s="793"/>
      <c r="F22" s="850"/>
      <c r="G22" s="850"/>
      <c r="H22" s="793"/>
      <c r="I22" s="4"/>
      <c r="J22" s="4"/>
      <c r="K22" s="9"/>
      <c r="L22" s="4"/>
      <c r="M22" s="41"/>
      <c r="N22" s="41"/>
      <c r="O22" s="41"/>
      <c r="P22" s="41"/>
      <c r="Q22" s="41"/>
      <c r="R22" s="41"/>
      <c r="S22" s="4"/>
    </row>
    <row r="23" spans="1:24" ht="15" customHeight="1">
      <c r="A23" s="4"/>
      <c r="B23" s="8"/>
      <c r="C23" s="4"/>
      <c r="D23" s="4"/>
      <c r="E23" s="4"/>
      <c r="F23" s="4"/>
      <c r="G23" s="4"/>
      <c r="H23" s="18"/>
      <c r="I23" s="19"/>
      <c r="J23" s="19"/>
      <c r="K23" s="40"/>
      <c r="L23" s="4"/>
      <c r="M23" s="45"/>
      <c r="N23" s="43"/>
      <c r="O23" s="43"/>
      <c r="P23" s="43"/>
      <c r="Q23" s="43"/>
      <c r="R23" s="43"/>
      <c r="S23" s="4"/>
    </row>
    <row r="24" spans="1:24" ht="15" customHeight="1">
      <c r="A24" s="4"/>
      <c r="B24" s="8"/>
      <c r="C24" s="4"/>
      <c r="D24" s="4"/>
      <c r="E24" s="4"/>
      <c r="F24" s="4"/>
      <c r="G24" s="4"/>
      <c r="H24" s="19"/>
      <c r="I24" s="19"/>
      <c r="J24" s="19"/>
      <c r="K24" s="40"/>
      <c r="L24" s="4"/>
      <c r="M24" s="49"/>
      <c r="N24" s="44"/>
      <c r="O24" s="44"/>
      <c r="P24" s="44"/>
      <c r="Q24" s="43"/>
      <c r="R24" s="43"/>
      <c r="S24" s="4"/>
    </row>
    <row r="25" spans="1:24" ht="15" customHeight="1">
      <c r="A25" s="26"/>
      <c r="B25" s="8"/>
      <c r="C25" s="793" t="s">
        <v>284</v>
      </c>
      <c r="D25" s="793"/>
      <c r="E25" s="793"/>
      <c r="F25" s="850">
        <v>150</v>
      </c>
      <c r="G25" s="850"/>
      <c r="H25" s="793" t="s">
        <v>22</v>
      </c>
      <c r="I25" s="19"/>
      <c r="J25" s="19"/>
      <c r="K25" s="40"/>
      <c r="L25" s="4"/>
      <c r="M25" s="856" t="str">
        <f>IF(F25="","",O54)</f>
        <v>Insulation recommended</v>
      </c>
      <c r="N25" s="856"/>
      <c r="O25" s="856"/>
      <c r="P25" s="856"/>
      <c r="Q25" s="43"/>
      <c r="R25" s="43"/>
      <c r="S25" s="4"/>
    </row>
    <row r="26" spans="1:24" ht="15" customHeight="1">
      <c r="A26" s="4"/>
      <c r="B26" s="8"/>
      <c r="C26" s="793"/>
      <c r="D26" s="793"/>
      <c r="E26" s="793"/>
      <c r="F26" s="850"/>
      <c r="G26" s="850"/>
      <c r="H26" s="793"/>
      <c r="I26" s="19"/>
      <c r="J26" s="19"/>
      <c r="K26" s="40"/>
      <c r="L26" s="4"/>
      <c r="M26" s="856"/>
      <c r="N26" s="856"/>
      <c r="O26" s="856"/>
      <c r="P26" s="856"/>
      <c r="Q26" s="43"/>
      <c r="R26" s="4"/>
      <c r="S26" s="4"/>
    </row>
    <row r="27" spans="1:24" ht="15" customHeight="1" thickBot="1">
      <c r="A27" s="4"/>
      <c r="B27" s="10"/>
      <c r="C27" s="11"/>
      <c r="D27" s="11"/>
      <c r="E27" s="11"/>
      <c r="F27" s="11"/>
      <c r="G27" s="11"/>
      <c r="H27" s="11"/>
      <c r="I27" s="11"/>
      <c r="J27" s="11"/>
      <c r="K27" s="12"/>
      <c r="L27" s="4"/>
      <c r="M27" s="856"/>
      <c r="N27" s="856"/>
      <c r="O27" s="856"/>
      <c r="P27" s="856"/>
      <c r="Q27" s="43"/>
      <c r="R27" s="4"/>
      <c r="S27" s="4"/>
    </row>
    <row r="28" spans="1:24" ht="15" customHeight="1" thickTop="1" thickBo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24" ht="15" customHeight="1" thickTop="1">
      <c r="A29" s="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4"/>
    </row>
    <row r="30" spans="1:24">
      <c r="A30" s="4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</row>
    <row r="31" spans="1:24">
      <c r="A31" s="118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</row>
    <row r="32" spans="1:24">
      <c r="A32" s="118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</row>
    <row r="33" spans="1:27">
      <c r="A33" s="118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</row>
    <row r="34" spans="1:27">
      <c r="A34" s="118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</row>
    <row r="35" spans="1:27">
      <c r="A35" s="118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</row>
    <row r="36" spans="1:27">
      <c r="A36" s="118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</row>
    <row r="37" spans="1:27">
      <c r="A37" s="118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</row>
    <row r="38" spans="1:27">
      <c r="A38" s="118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</row>
    <row r="39" spans="1:27">
      <c r="A39" s="4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</row>
    <row r="40" spans="1:27">
      <c r="A40" s="4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</row>
    <row r="41" spans="1:27">
      <c r="A41" s="4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</row>
    <row r="42" spans="1:27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</row>
    <row r="43" spans="1:27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</row>
    <row r="44" spans="1:27" ht="75.75" thickBot="1">
      <c r="A44" s="802" t="s">
        <v>5</v>
      </c>
      <c r="B44" s="803"/>
      <c r="C44" s="81" t="s">
        <v>158</v>
      </c>
      <c r="D44" s="81" t="s">
        <v>102</v>
      </c>
      <c r="E44" s="81" t="s">
        <v>103</v>
      </c>
      <c r="F44" s="82"/>
      <c r="G44" s="82" t="s">
        <v>285</v>
      </c>
      <c r="H44" s="82" t="s">
        <v>30</v>
      </c>
      <c r="I44" s="84" t="s">
        <v>78</v>
      </c>
      <c r="J44" s="82" t="s">
        <v>59</v>
      </c>
      <c r="K44" s="82" t="s">
        <v>58</v>
      </c>
      <c r="L44" s="83" t="s">
        <v>13</v>
      </c>
      <c r="M44" s="112" t="s">
        <v>106</v>
      </c>
      <c r="N44" s="83" t="s">
        <v>152</v>
      </c>
      <c r="O44" s="83" t="s">
        <v>105</v>
      </c>
      <c r="P44" s="83" t="s">
        <v>26</v>
      </c>
      <c r="Q44" s="113" t="s">
        <v>107</v>
      </c>
      <c r="R44" s="78" t="s">
        <v>365</v>
      </c>
      <c r="S44" s="80" t="s">
        <v>84</v>
      </c>
      <c r="T44" s="80" t="s">
        <v>85</v>
      </c>
      <c r="U44" s="888" t="s">
        <v>60</v>
      </c>
      <c r="V44" s="888"/>
      <c r="W44" s="114"/>
      <c r="X44" s="114"/>
      <c r="Y44" s="16"/>
      <c r="Z44" s="16"/>
      <c r="AA44" s="16"/>
    </row>
    <row r="45" spans="1:27" ht="19.5" thickBot="1">
      <c r="A45" s="889" t="str">
        <f>G5</f>
        <v>Pipe 2119</v>
      </c>
      <c r="B45" s="890"/>
      <c r="C45" s="223">
        <f>D13</f>
        <v>150</v>
      </c>
      <c r="D45" s="226">
        <f>VLOOKUP(C45,A75:B114,2,TRUE)</f>
        <v>0.16900000000000001</v>
      </c>
      <c r="E45" s="225">
        <f>I13</f>
        <v>1</v>
      </c>
      <c r="F45" s="223"/>
      <c r="G45" s="224">
        <f>F25</f>
        <v>150</v>
      </c>
      <c r="H45" s="224">
        <f>F21</f>
        <v>20</v>
      </c>
      <c r="I45" s="228">
        <f>H17</f>
        <v>0.9</v>
      </c>
      <c r="J45" s="224">
        <f>P5</f>
        <v>8760</v>
      </c>
      <c r="K45" s="228">
        <f>TBi!L27</f>
        <v>3.5999999999999997E-2</v>
      </c>
      <c r="L45" s="125">
        <f>IF(G45=0,"",I45*$D$60*(((G45+273)^4-(H45+273)^4)/(G45-H45)))</f>
        <v>9.6749470656415433</v>
      </c>
      <c r="M45" s="159">
        <f>D45^3*ABS(G45-H45)</f>
        <v>0.62748517000000004</v>
      </c>
      <c r="N45" s="126">
        <f>IF(G45=0,"",1.25*((ABS(G45-H45))/D45)^0.25)</f>
        <v>6.5830048480990824</v>
      </c>
      <c r="O45" s="126">
        <f>1.21*(ABS(G45-H45))^0.33</f>
        <v>6.0309631735607825</v>
      </c>
      <c r="P45" s="126">
        <f>IF(M45&lt;10,N45+L45,O45+L45)</f>
        <v>16.257951913740627</v>
      </c>
      <c r="Q45" s="160">
        <f>1/(D59*P45*D45)</f>
        <v>0.11585014252564743</v>
      </c>
      <c r="R45" s="127">
        <f>IF(G45=0,"",ABS(G45-H45)/Q45)</f>
        <v>1122.1393186565999</v>
      </c>
      <c r="S45" s="128">
        <f>IF(G45=0,"",R45*E45*J45/1000)</f>
        <v>9829.9404314318144</v>
      </c>
      <c r="T45" s="174">
        <f>IF(G45=0,"",S45*K45)</f>
        <v>353.87785553154526</v>
      </c>
      <c r="U45" s="121" t="s">
        <v>61</v>
      </c>
      <c r="V45" s="121" t="s">
        <v>23</v>
      </c>
      <c r="W45" s="117"/>
      <c r="X45" s="117"/>
      <c r="Y45" s="16"/>
      <c r="Z45" s="16"/>
      <c r="AA45" s="16"/>
    </row>
    <row r="46" spans="1:27" ht="15.75" thickBot="1">
      <c r="A46" s="889" t="s">
        <v>290</v>
      </c>
      <c r="B46" s="890"/>
      <c r="C46" s="223"/>
      <c r="D46" s="512">
        <f>E53</f>
        <v>0.20900000000000002</v>
      </c>
      <c r="E46" s="225">
        <f t="shared" ref="E46:K47" si="0">E45</f>
        <v>1</v>
      </c>
      <c r="F46" s="223"/>
      <c r="G46" s="227">
        <f t="shared" si="0"/>
        <v>150</v>
      </c>
      <c r="H46" s="224">
        <f t="shared" si="0"/>
        <v>20</v>
      </c>
      <c r="I46" s="228">
        <f t="shared" si="0"/>
        <v>0.9</v>
      </c>
      <c r="J46" s="224">
        <f t="shared" si="0"/>
        <v>8760</v>
      </c>
      <c r="K46" s="228">
        <f t="shared" si="0"/>
        <v>3.5999999999999997E-2</v>
      </c>
      <c r="L46" s="125">
        <f>IF(G46=0,"",I46*$D$60*(((G46+273)^4-(H46+273)^4)/(G46-H46)))</f>
        <v>9.6749470656415433</v>
      </c>
      <c r="M46" s="159">
        <f>D46^3*ABS(G46-H46)</f>
        <v>1.1868127700000002</v>
      </c>
      <c r="N46" s="126">
        <f>IF(G46=0,"",1.25*(ABS(G46-H46)/D46)^0.25)</f>
        <v>6.2425104718689886</v>
      </c>
      <c r="O46" s="126">
        <f>1.21*(ABS(G46-H46))^0.33</f>
        <v>6.0309631735607825</v>
      </c>
      <c r="P46" s="126">
        <f>IF(M46&lt;10,N46+L46,O46+L46)</f>
        <v>15.917457537510533</v>
      </c>
      <c r="Q46" s="160">
        <f>1/(D59*P46*D46)</f>
        <v>9.5681753473648878E-2</v>
      </c>
      <c r="R46" s="127">
        <f>ABS(G45-H45)/(E54+Q46)</f>
        <v>227.51297326617009</v>
      </c>
      <c r="S46" s="230">
        <f>IF(G46=0,"",R46*J46*E46/1000)</f>
        <v>1993.0136458116499</v>
      </c>
      <c r="T46" s="231">
        <f>IF(G46=0,"",S46*K46)</f>
        <v>71.748491249219384</v>
      </c>
      <c r="U46" s="79">
        <f>S45-S46</f>
        <v>7836.9267856201641</v>
      </c>
      <c r="V46" s="79">
        <f>T45-T46</f>
        <v>282.12936428232587</v>
      </c>
      <c r="W46" s="117"/>
      <c r="X46" s="117"/>
      <c r="Y46" s="16"/>
      <c r="Z46" s="16"/>
      <c r="AA46" s="16"/>
    </row>
    <row r="47" spans="1:27">
      <c r="A47" s="889" t="s">
        <v>291</v>
      </c>
      <c r="B47" s="890"/>
      <c r="C47" s="381"/>
      <c r="D47" s="512">
        <f>F53</f>
        <v>0.52900000000000003</v>
      </c>
      <c r="E47" s="225">
        <f t="shared" si="0"/>
        <v>1</v>
      </c>
      <c r="F47" s="381"/>
      <c r="G47" s="227">
        <f t="shared" si="0"/>
        <v>150</v>
      </c>
      <c r="H47" s="224">
        <f t="shared" si="0"/>
        <v>20</v>
      </c>
      <c r="I47" s="228">
        <f t="shared" si="0"/>
        <v>0.9</v>
      </c>
      <c r="J47" s="224">
        <f t="shared" si="0"/>
        <v>8760</v>
      </c>
      <c r="K47" s="228">
        <f t="shared" si="0"/>
        <v>3.5999999999999997E-2</v>
      </c>
      <c r="L47" s="125">
        <f>IF(G47=0,"",I47*$D$60*(((G47+273)^4-(H47+273)^4)/(G47-H47)))</f>
        <v>9.6749470656415433</v>
      </c>
      <c r="M47" s="159">
        <f>D47^3*ABS(G47-H47)</f>
        <v>19.244665570000002</v>
      </c>
      <c r="N47" s="126">
        <f>IF(G47=0,"",1.25*(ABS(G47-H47)/D47)^0.25)</f>
        <v>4.9491650011204049</v>
      </c>
      <c r="O47" s="126">
        <f>1.21*(ABS(G47-H47))^0.33</f>
        <v>6.0309631735607825</v>
      </c>
      <c r="P47" s="126">
        <f>IF(M47&lt;10,N47+L47,O47+L47)</f>
        <v>15.705910239202325</v>
      </c>
      <c r="Q47" s="160">
        <f>1/(D59*P47*D47)</f>
        <v>3.8311603431161745E-2</v>
      </c>
      <c r="R47" s="127">
        <f>ABS(G47-H47)/(F54+Q47)</f>
        <v>48.927041803391774</v>
      </c>
      <c r="S47" s="230">
        <f>IF(G47=0,"",R47*J47*E47/1000)</f>
        <v>428.60088619771193</v>
      </c>
      <c r="T47" s="231">
        <f>IF(G47=0,"",S47*K47)</f>
        <v>15.429631903117627</v>
      </c>
      <c r="U47" s="415">
        <f>S45-S47</f>
        <v>9401.3395452341028</v>
      </c>
      <c r="V47" s="415">
        <f>T45-T47</f>
        <v>338.44822362842763</v>
      </c>
      <c r="W47" s="117"/>
      <c r="X47" s="117"/>
      <c r="Y47" s="16"/>
      <c r="Z47" s="16"/>
      <c r="AA47" s="16"/>
    </row>
    <row r="48" spans="1:27" s="16" customFormat="1" ht="30.75" thickBot="1">
      <c r="A48" s="56"/>
      <c r="B48" s="56"/>
      <c r="C48" s="56"/>
      <c r="D48" s="56"/>
      <c r="E48" s="57" t="s">
        <v>288</v>
      </c>
      <c r="F48" s="57" t="s">
        <v>289</v>
      </c>
      <c r="G48" s="57"/>
      <c r="H48" s="57"/>
      <c r="I48" s="57"/>
      <c r="J48" s="58"/>
      <c r="K48" s="59"/>
      <c r="L48" s="58"/>
      <c r="M48" s="60"/>
      <c r="N48" s="129"/>
      <c r="O48" s="129"/>
      <c r="P48" s="891"/>
      <c r="Q48" s="891"/>
      <c r="R48" s="320" t="s">
        <v>206</v>
      </c>
      <c r="S48" s="36"/>
      <c r="T48" s="667">
        <f>S45*202/1000000</f>
        <v>1.9856479671492264</v>
      </c>
    </row>
    <row r="49" spans="1:22" s="16" customFormat="1" ht="19.5" thickBot="1">
      <c r="A49" s="62"/>
      <c r="B49" s="56"/>
      <c r="C49" s="894" t="s">
        <v>51</v>
      </c>
      <c r="D49" s="895"/>
      <c r="E49" s="545">
        <f>(G45+(H45+35))/2</f>
        <v>102.5</v>
      </c>
      <c r="F49" s="545">
        <f>(G45+(H45+20))/2</f>
        <v>95</v>
      </c>
      <c r="G49" s="57"/>
      <c r="H49" s="57"/>
      <c r="I49" s="57"/>
      <c r="J49" s="58"/>
      <c r="K49" s="59"/>
      <c r="L49" s="75"/>
      <c r="M49" s="75"/>
      <c r="N49" s="75"/>
      <c r="O49" s="75"/>
      <c r="P49" s="204"/>
      <c r="Q49" s="204"/>
      <c r="R49" s="36"/>
      <c r="S49" s="36"/>
      <c r="T49" s="667">
        <f t="shared" ref="T49:T50" si="1">S46*202/1000000</f>
        <v>0.40258875645395326</v>
      </c>
    </row>
    <row r="50" spans="1:22" s="16" customFormat="1" ht="16.149999999999999" customHeight="1" thickBot="1">
      <c r="A50" s="56"/>
      <c r="B50" s="56"/>
      <c r="C50" s="871" t="s">
        <v>360</v>
      </c>
      <c r="D50" s="872"/>
      <c r="E50" s="274">
        <f>C63+C64*E49+C65*E49^2+C66*E49^3</f>
        <v>4.7381508107812498E-2</v>
      </c>
      <c r="F50" s="274">
        <f>C63+C64*F49+C65*F49^2+C66*F49^3</f>
        <v>4.6233944137499997E-2</v>
      </c>
      <c r="G50" s="57"/>
      <c r="H50" s="57"/>
      <c r="I50" s="57"/>
      <c r="J50" s="58"/>
      <c r="K50" s="59"/>
      <c r="L50" s="58"/>
      <c r="M50" s="60"/>
      <c r="N50" s="129"/>
      <c r="O50" s="129"/>
      <c r="P50" s="123"/>
      <c r="Q50" s="233"/>
      <c r="R50" s="36"/>
      <c r="S50" s="36"/>
      <c r="T50" s="667">
        <f t="shared" si="1"/>
        <v>8.6577379011937808E-2</v>
      </c>
      <c r="V50" s="16" t="s">
        <v>169</v>
      </c>
    </row>
    <row r="51" spans="1:22" s="16" customFormat="1" ht="16.899999999999999" customHeight="1" thickBot="1">
      <c r="A51" s="56"/>
      <c r="B51" s="56"/>
      <c r="C51" s="873" t="s">
        <v>359</v>
      </c>
      <c r="D51" s="874"/>
      <c r="E51" s="273">
        <f>E50*C62</f>
        <v>7.1072262161718747E-2</v>
      </c>
      <c r="F51" s="273">
        <f>F50*C62</f>
        <v>6.9350916206250002E-2</v>
      </c>
      <c r="G51" s="57"/>
      <c r="H51" s="57"/>
      <c r="I51" s="57"/>
      <c r="J51" s="58"/>
      <c r="K51" s="59"/>
      <c r="L51" s="58"/>
      <c r="M51" s="60"/>
      <c r="N51" s="129"/>
      <c r="O51" s="129"/>
      <c r="P51" s="123"/>
      <c r="Q51" s="233"/>
      <c r="R51" s="36"/>
      <c r="S51" s="36"/>
      <c r="T51" s="36"/>
    </row>
    <row r="52" spans="1:22" s="16" customFormat="1" ht="15.75" thickBot="1">
      <c r="A52" s="56"/>
      <c r="B52" s="56"/>
      <c r="C52" s="822" t="s">
        <v>361</v>
      </c>
      <c r="D52" s="823"/>
      <c r="E52" s="414">
        <f>IF((E45-G45)&lt;F63,G63/1000,IF((E45-G45)&lt;F64,G64/1000,IF((E45-G45)&lt;F65,(G65/1000),G66/1000)))</f>
        <v>0.02</v>
      </c>
      <c r="F52" s="414">
        <f>IF((G45-H45)&lt;F63,H63/1000,IF((G45-H45)&lt;F64,H64/1000,IF((G45-H45)&lt;F65,(H65/1000),H66/1000)))</f>
        <v>0.18</v>
      </c>
      <c r="G52" s="143" t="s">
        <v>46</v>
      </c>
      <c r="H52" s="57"/>
      <c r="I52" s="57"/>
      <c r="J52" s="58"/>
      <c r="K52" s="59"/>
      <c r="L52" s="58"/>
      <c r="M52" s="60"/>
      <c r="N52" s="123"/>
      <c r="O52" s="123"/>
      <c r="P52" s="129"/>
      <c r="Q52" s="129"/>
      <c r="R52" s="36"/>
      <c r="S52" s="36"/>
      <c r="T52" s="36"/>
      <c r="U52" s="145"/>
      <c r="V52" s="145"/>
    </row>
    <row r="53" spans="1:22" s="16" customFormat="1" ht="15.75" thickBot="1">
      <c r="A53" s="56"/>
      <c r="B53" s="56"/>
      <c r="C53" s="875" t="s">
        <v>364</v>
      </c>
      <c r="D53" s="876" t="s">
        <v>160</v>
      </c>
      <c r="E53" s="414">
        <f>D45+2*E52</f>
        <v>0.20900000000000002</v>
      </c>
      <c r="F53" s="414">
        <f>D45+2*F52</f>
        <v>0.52900000000000003</v>
      </c>
      <c r="G53" s="222" t="s">
        <v>46</v>
      </c>
      <c r="H53" s="57"/>
      <c r="I53" s="57"/>
      <c r="J53" s="58"/>
      <c r="K53" s="59"/>
      <c r="L53" s="58"/>
      <c r="M53" s="60"/>
      <c r="N53" s="123"/>
      <c r="O53" s="123"/>
      <c r="P53" s="129"/>
      <c r="Q53" s="129"/>
      <c r="R53" s="36"/>
      <c r="S53" s="36"/>
      <c r="T53" s="36"/>
    </row>
    <row r="54" spans="1:22" s="16" customFormat="1" ht="15.75" thickBot="1">
      <c r="A54" s="56"/>
      <c r="B54" s="56"/>
      <c r="C54" s="875" t="s">
        <v>161</v>
      </c>
      <c r="D54" s="876"/>
      <c r="E54" s="146">
        <f>LN(E53/D45)/(2*D59*E51)</f>
        <v>0.47571423390115225</v>
      </c>
      <c r="F54" s="146">
        <f>LN(F53/D45)/(2*D59*F51)</f>
        <v>2.6187057679110803</v>
      </c>
      <c r="G54" s="57"/>
      <c r="H54" s="57"/>
      <c r="I54" s="57"/>
      <c r="J54" s="58"/>
      <c r="K54" s="59"/>
      <c r="L54" s="58"/>
      <c r="M54" s="60"/>
      <c r="N54" s="123"/>
      <c r="O54" s="877" t="str">
        <f>IF(E55&gt;R46,"Insulation recommended","System_ok")</f>
        <v>Insulation recommended</v>
      </c>
      <c r="P54" s="878"/>
      <c r="Q54" s="878"/>
      <c r="R54" s="878"/>
      <c r="S54" s="878"/>
      <c r="T54" s="879"/>
    </row>
    <row r="55" spans="1:22" s="16" customFormat="1" ht="15.75" thickBot="1">
      <c r="A55" s="56"/>
      <c r="B55" s="56"/>
      <c r="C55" s="875" t="s">
        <v>138</v>
      </c>
      <c r="D55" s="876"/>
      <c r="E55" s="151">
        <f>R45-(10000*D69*E56/J45/K45)</f>
        <v>1088.8265637098723</v>
      </c>
      <c r="F55" s="151"/>
      <c r="G55" s="17" t="s">
        <v>171</v>
      </c>
      <c r="H55" s="57"/>
      <c r="I55" s="57"/>
      <c r="J55" s="58"/>
      <c r="K55" s="59"/>
      <c r="L55" s="58"/>
      <c r="M55" s="60"/>
      <c r="N55" s="123"/>
      <c r="O55" s="880"/>
      <c r="P55" s="881"/>
      <c r="Q55" s="881"/>
      <c r="R55" s="881"/>
      <c r="S55" s="881"/>
      <c r="T55" s="882"/>
    </row>
    <row r="56" spans="1:22" s="16" customFormat="1" ht="15.75" thickBot="1">
      <c r="A56" s="56"/>
      <c r="B56" s="56"/>
      <c r="C56" s="886" t="s">
        <v>363</v>
      </c>
      <c r="D56" s="887"/>
      <c r="E56" s="146">
        <f>3.1416*(E53)</f>
        <v>0.65659440000000002</v>
      </c>
      <c r="F56" s="146"/>
      <c r="G56" s="57"/>
      <c r="H56" s="57"/>
      <c r="I56" s="57"/>
      <c r="J56" s="58"/>
      <c r="K56" s="59"/>
      <c r="L56" s="58"/>
      <c r="M56" s="60"/>
      <c r="N56" s="123"/>
      <c r="O56" s="883"/>
      <c r="P56" s="884"/>
      <c r="Q56" s="884"/>
      <c r="R56" s="884"/>
      <c r="S56" s="884"/>
      <c r="T56" s="885"/>
    </row>
    <row r="57" spans="1:22" s="16" customFormat="1">
      <c r="A57" s="56"/>
      <c r="B57" s="56"/>
      <c r="C57" s="56"/>
      <c r="D57" s="144"/>
      <c r="E57" s="124"/>
      <c r="F57" s="58"/>
      <c r="G57" s="57"/>
      <c r="H57" s="57"/>
      <c r="I57" s="57"/>
      <c r="J57" s="58"/>
      <c r="K57" s="59"/>
      <c r="L57" s="58"/>
      <c r="M57" s="60"/>
      <c r="N57" s="123"/>
      <c r="O57" s="123"/>
      <c r="P57" s="129"/>
      <c r="Q57" s="129"/>
      <c r="R57" s="36"/>
      <c r="S57" s="36"/>
      <c r="T57" s="36"/>
    </row>
    <row r="58" spans="1:22" s="16" customFormat="1" ht="15.75" thickBot="1">
      <c r="A58" s="904" t="s">
        <v>109</v>
      </c>
      <c r="B58" s="904"/>
      <c r="C58" s="904"/>
      <c r="D58" s="904"/>
      <c r="E58" s="904"/>
      <c r="F58" s="904"/>
      <c r="G58" s="904"/>
      <c r="H58" s="904"/>
      <c r="I58" s="904"/>
      <c r="J58" s="904"/>
      <c r="K58" s="904"/>
      <c r="L58" s="904"/>
      <c r="M58" s="904"/>
      <c r="N58" s="904"/>
      <c r="O58" s="904"/>
      <c r="P58" s="904"/>
      <c r="Q58" s="904"/>
      <c r="R58" s="904"/>
      <c r="S58" s="904"/>
      <c r="T58" s="904"/>
      <c r="U58" s="16" t="s">
        <v>82</v>
      </c>
    </row>
    <row r="59" spans="1:22" s="2" customFormat="1" ht="15.75" thickBot="1">
      <c r="A59" s="905" t="s">
        <v>162</v>
      </c>
      <c r="B59" s="906"/>
      <c r="C59" s="906"/>
      <c r="D59" s="232">
        <v>3.1415999999999999</v>
      </c>
      <c r="E59" s="57"/>
      <c r="F59" s="57"/>
      <c r="G59" s="57"/>
      <c r="H59" s="57"/>
      <c r="I59" s="132"/>
      <c r="J59" s="133"/>
      <c r="K59" s="134"/>
      <c r="L59" s="133"/>
      <c r="M59" s="135"/>
      <c r="N59" s="136"/>
      <c r="O59" s="136"/>
      <c r="P59" s="137"/>
      <c r="Q59" s="137"/>
      <c r="R59" s="138"/>
      <c r="S59" s="138"/>
      <c r="T59" s="138"/>
    </row>
    <row r="60" spans="1:22" s="2" customFormat="1" ht="15.75" thickBot="1">
      <c r="A60" s="907" t="s">
        <v>80</v>
      </c>
      <c r="B60" s="906"/>
      <c r="C60" s="906"/>
      <c r="D60" s="165">
        <v>5.6703669999999997E-8</v>
      </c>
      <c r="E60" s="57"/>
      <c r="F60" s="57"/>
      <c r="G60" s="57"/>
      <c r="H60" s="57"/>
      <c r="I60" s="132" t="s">
        <v>132</v>
      </c>
      <c r="J60" s="133"/>
      <c r="K60" s="134"/>
      <c r="L60" s="133"/>
      <c r="M60" s="135"/>
      <c r="N60" s="136"/>
      <c r="O60" s="136"/>
      <c r="P60" s="137"/>
      <c r="Q60" s="137"/>
      <c r="R60" s="138"/>
      <c r="S60" s="138"/>
      <c r="T60" s="138"/>
    </row>
    <row r="61" spans="1:22" s="2" customFormat="1" ht="15.75" thickBot="1">
      <c r="A61" s="161"/>
      <c r="B61" s="908" t="s">
        <v>110</v>
      </c>
      <c r="C61" s="909"/>
      <c r="D61" s="161"/>
      <c r="E61" s="910" t="s">
        <v>112</v>
      </c>
      <c r="F61" s="911"/>
      <c r="G61" s="912"/>
      <c r="H61" s="57"/>
      <c r="I61" s="132"/>
      <c r="J61" s="133"/>
      <c r="K61" s="134"/>
      <c r="L61" s="133"/>
      <c r="M61" s="135"/>
      <c r="N61" s="136"/>
      <c r="O61" s="136"/>
      <c r="P61" s="137"/>
      <c r="Q61" s="137"/>
      <c r="R61" s="138"/>
      <c r="S61" s="138"/>
      <c r="T61" s="138"/>
    </row>
    <row r="62" spans="1:22" s="2" customFormat="1" ht="15.75" thickBot="1">
      <c r="A62" s="162"/>
      <c r="B62" s="163" t="s">
        <v>53</v>
      </c>
      <c r="C62" s="229">
        <v>1.5</v>
      </c>
      <c r="D62" s="57"/>
      <c r="E62" s="445"/>
      <c r="F62" s="446" t="s">
        <v>65</v>
      </c>
      <c r="G62" s="447" t="s">
        <v>286</v>
      </c>
      <c r="H62" s="447" t="s">
        <v>287</v>
      </c>
      <c r="I62" s="133"/>
      <c r="J62" s="134"/>
      <c r="K62" s="133"/>
      <c r="L62" s="135"/>
      <c r="M62" s="136"/>
      <c r="N62" s="136"/>
      <c r="O62" s="137"/>
      <c r="P62" s="137"/>
      <c r="Q62" s="138"/>
      <c r="R62" s="138"/>
      <c r="S62" s="138"/>
      <c r="T62" s="139"/>
    </row>
    <row r="63" spans="1:22" s="2" customFormat="1">
      <c r="A63" s="162"/>
      <c r="B63" s="164" t="s">
        <v>47</v>
      </c>
      <c r="C63" s="165">
        <f>0.0338</f>
        <v>3.3799999999999997E-2</v>
      </c>
      <c r="D63" s="57"/>
      <c r="E63" s="448" t="s">
        <v>81</v>
      </c>
      <c r="F63" s="449">
        <v>80</v>
      </c>
      <c r="G63" s="450">
        <v>20</v>
      </c>
      <c r="H63" s="450">
        <v>100</v>
      </c>
      <c r="I63" s="133"/>
      <c r="J63" s="134"/>
      <c r="K63" s="133"/>
      <c r="L63" s="135"/>
      <c r="M63" s="136"/>
      <c r="N63" s="136"/>
      <c r="O63" s="137"/>
      <c r="P63" s="137"/>
      <c r="Q63" s="138"/>
      <c r="R63" s="138"/>
      <c r="S63" s="138"/>
      <c r="T63" s="139"/>
    </row>
    <row r="64" spans="1:22" s="2" customFormat="1">
      <c r="A64" s="162"/>
      <c r="B64" s="164" t="s">
        <v>48</v>
      </c>
      <c r="C64" s="165">
        <v>1.1730000000000001E-4</v>
      </c>
      <c r="D64" s="57"/>
      <c r="E64" s="448" t="s">
        <v>81</v>
      </c>
      <c r="F64" s="449">
        <v>150</v>
      </c>
      <c r="G64" s="450">
        <v>30</v>
      </c>
      <c r="H64" s="450">
        <v>180</v>
      </c>
      <c r="I64" s="133"/>
      <c r="J64" s="134"/>
      <c r="K64" s="133"/>
      <c r="L64" s="135"/>
      <c r="M64" s="136"/>
      <c r="N64" s="136"/>
      <c r="O64" s="137"/>
      <c r="P64" s="137"/>
      <c r="Q64" s="138"/>
      <c r="R64" s="138"/>
      <c r="S64" s="138"/>
      <c r="T64" s="139"/>
    </row>
    <row r="65" spans="1:24" s="2" customFormat="1">
      <c r="A65" s="162"/>
      <c r="B65" s="164" t="s">
        <v>49</v>
      </c>
      <c r="C65" s="165">
        <v>7.5450000000000004E-8</v>
      </c>
      <c r="D65" s="57"/>
      <c r="E65" s="448" t="s">
        <v>81</v>
      </c>
      <c r="F65" s="449">
        <v>250</v>
      </c>
      <c r="G65" s="450">
        <v>50</v>
      </c>
      <c r="H65" s="450">
        <v>250</v>
      </c>
      <c r="I65" s="133"/>
      <c r="J65" s="134"/>
      <c r="K65" s="133"/>
      <c r="L65" s="135"/>
      <c r="M65" s="136"/>
      <c r="N65" s="136"/>
      <c r="O65" s="137"/>
      <c r="P65" s="137"/>
      <c r="Q65" s="138"/>
      <c r="R65" s="138"/>
      <c r="S65" s="138"/>
      <c r="T65" s="139"/>
    </row>
    <row r="66" spans="1:24" customFormat="1" ht="15.75" thickBot="1">
      <c r="A66" s="56"/>
      <c r="B66" s="166" t="s">
        <v>50</v>
      </c>
      <c r="C66" s="167">
        <v>7.109E-10</v>
      </c>
      <c r="D66" s="57"/>
      <c r="E66" s="448" t="s">
        <v>81</v>
      </c>
      <c r="F66" s="449"/>
      <c r="G66" s="450">
        <v>80</v>
      </c>
      <c r="H66" s="450">
        <v>300</v>
      </c>
      <c r="I66" s="135"/>
      <c r="J66" s="139"/>
      <c r="K66" s="139"/>
      <c r="L66" s="137"/>
      <c r="M66" s="137"/>
      <c r="N66" s="139"/>
      <c r="O66" s="137"/>
      <c r="P66" s="140"/>
      <c r="Q66" s="138"/>
      <c r="R66" s="138"/>
      <c r="S66" s="138"/>
      <c r="T66" s="139"/>
    </row>
    <row r="67" spans="1:24" customFormat="1">
      <c r="A67" s="56"/>
      <c r="B67" s="89"/>
      <c r="C67" s="168"/>
      <c r="D67" s="57"/>
      <c r="E67" s="57"/>
      <c r="F67" s="58"/>
      <c r="G67" s="59"/>
      <c r="H67" s="58"/>
      <c r="I67" s="135"/>
      <c r="J67" s="139"/>
      <c r="K67" s="139"/>
      <c r="L67" s="137"/>
      <c r="M67" s="137"/>
      <c r="N67" s="139"/>
      <c r="O67" s="826" t="s">
        <v>142</v>
      </c>
      <c r="P67" s="826"/>
      <c r="Q67" s="826"/>
      <c r="R67" s="826"/>
      <c r="S67" s="826"/>
      <c r="T67" s="826"/>
    </row>
    <row r="68" spans="1:24" customFormat="1" ht="15.75" thickBot="1">
      <c r="A68" s="56"/>
      <c r="B68" s="16"/>
      <c r="C68" s="129"/>
      <c r="D68" s="38"/>
      <c r="E68" s="16"/>
      <c r="F68" s="16"/>
      <c r="G68" s="16"/>
      <c r="H68" s="58"/>
      <c r="I68" s="135"/>
      <c r="J68" s="139"/>
      <c r="K68" s="139"/>
      <c r="L68" s="137"/>
      <c r="M68" s="137"/>
      <c r="N68" s="139"/>
      <c r="O68" s="847" t="s">
        <v>143</v>
      </c>
      <c r="P68" s="847"/>
      <c r="Q68" s="847"/>
      <c r="R68" s="234">
        <v>80</v>
      </c>
      <c r="S68" s="196" t="s">
        <v>62</v>
      </c>
      <c r="T68" s="197"/>
    </row>
    <row r="69" spans="1:24" customFormat="1" ht="15.75" thickBot="1">
      <c r="A69" s="169"/>
      <c r="B69" s="170" t="s">
        <v>130</v>
      </c>
      <c r="C69" s="155"/>
      <c r="D69" s="221">
        <v>1.6</v>
      </c>
      <c r="E69" s="16"/>
      <c r="F69" s="16"/>
      <c r="G69" s="16"/>
      <c r="H69" s="58"/>
      <c r="I69" s="135"/>
      <c r="J69" s="139"/>
      <c r="K69" s="139"/>
      <c r="L69" s="137"/>
      <c r="M69" s="137"/>
      <c r="N69" s="139"/>
      <c r="O69" s="847" t="s">
        <v>144</v>
      </c>
      <c r="P69" s="847"/>
      <c r="Q69" s="847"/>
      <c r="R69" s="234">
        <v>250</v>
      </c>
      <c r="S69" s="196" t="s">
        <v>62</v>
      </c>
      <c r="T69" s="197"/>
    </row>
    <row r="70" spans="1:24" customFormat="1" ht="15.75" thickBot="1">
      <c r="A70" s="913" t="s">
        <v>148</v>
      </c>
      <c r="B70" s="914"/>
      <c r="C70" s="915"/>
      <c r="D70" s="220">
        <v>5</v>
      </c>
      <c r="E70" s="171"/>
      <c r="F70" s="58"/>
      <c r="G70" s="59"/>
      <c r="H70" s="58"/>
      <c r="I70" s="135"/>
      <c r="J70" s="139"/>
      <c r="K70" s="139"/>
      <c r="L70" s="137"/>
      <c r="M70" s="137"/>
      <c r="N70" s="139"/>
      <c r="O70" s="847" t="s">
        <v>64</v>
      </c>
      <c r="P70" s="847"/>
      <c r="Q70" s="847"/>
      <c r="R70" s="234">
        <v>5</v>
      </c>
      <c r="S70" s="196" t="s">
        <v>63</v>
      </c>
      <c r="T70" s="197"/>
      <c r="U70" t="s">
        <v>114</v>
      </c>
    </row>
    <row r="71" spans="1:24" customFormat="1" ht="15.75" thickBot="1">
      <c r="A71" s="913" t="s">
        <v>86</v>
      </c>
      <c r="B71" s="914"/>
      <c r="C71" s="915"/>
      <c r="D71" s="219">
        <v>55</v>
      </c>
      <c r="E71" s="171" t="s">
        <v>22</v>
      </c>
      <c r="F71" s="58"/>
      <c r="G71" s="59"/>
      <c r="H71" s="58"/>
      <c r="I71" s="135"/>
      <c r="J71" s="139"/>
      <c r="K71" s="139"/>
      <c r="L71" s="137"/>
      <c r="M71" s="137"/>
      <c r="N71" s="139"/>
      <c r="O71" s="847" t="s">
        <v>146</v>
      </c>
      <c r="P71" s="847"/>
      <c r="Q71" s="847"/>
      <c r="R71" s="235">
        <f>0.1*R68/R70</f>
        <v>1.6</v>
      </c>
      <c r="S71" s="196"/>
      <c r="T71" s="197"/>
      <c r="U71" t="s">
        <v>170</v>
      </c>
    </row>
    <row r="72" spans="1:24" customFormat="1">
      <c r="A72" s="66"/>
      <c r="B72" s="148"/>
      <c r="C72" s="149"/>
      <c r="D72" s="132"/>
      <c r="E72" s="132"/>
      <c r="F72" s="133"/>
      <c r="G72" s="134"/>
      <c r="H72" s="133"/>
      <c r="I72" s="135"/>
      <c r="J72" s="139"/>
      <c r="K72" s="139"/>
      <c r="L72" s="137"/>
      <c r="M72" s="137"/>
      <c r="N72" s="139"/>
      <c r="O72" s="847" t="s">
        <v>147</v>
      </c>
      <c r="P72" s="847"/>
      <c r="Q72" s="847"/>
      <c r="R72" s="236">
        <f>0.1*R69/R70</f>
        <v>5</v>
      </c>
      <c r="S72" s="198"/>
      <c r="T72" s="197"/>
    </row>
    <row r="73" spans="1:24" s="2" customFormat="1">
      <c r="A73" s="56"/>
      <c r="B73" s="89"/>
      <c r="C73" s="168"/>
      <c r="D73" s="57"/>
      <c r="E73" s="57"/>
      <c r="F73" s="58"/>
      <c r="G73" s="59"/>
      <c r="H73" s="58"/>
      <c r="I73" s="60"/>
      <c r="L73" s="280"/>
      <c r="M73" s="280"/>
      <c r="O73" s="441"/>
      <c r="P73" s="441"/>
      <c r="Q73" s="441"/>
      <c r="R73" s="451"/>
      <c r="S73" s="358"/>
    </row>
    <row r="74" spans="1:24">
      <c r="A74" s="277" t="s">
        <v>158</v>
      </c>
      <c r="B74" s="277" t="s">
        <v>44</v>
      </c>
    </row>
    <row r="75" spans="1:24">
      <c r="A75" s="278">
        <v>10</v>
      </c>
      <c r="B75" s="279">
        <v>1.7999999999999999E-2</v>
      </c>
      <c r="S75" s="16"/>
      <c r="X75" s="17"/>
    </row>
    <row r="76" spans="1:24">
      <c r="A76" s="278">
        <v>15</v>
      </c>
      <c r="B76" s="279">
        <v>2.1999999999999999E-2</v>
      </c>
      <c r="S76" s="16"/>
      <c r="X76" s="17"/>
    </row>
    <row r="77" spans="1:24">
      <c r="A77" s="278">
        <v>20</v>
      </c>
      <c r="B77" s="279">
        <v>2.7E-2</v>
      </c>
      <c r="S77" s="16"/>
      <c r="X77" s="17"/>
    </row>
    <row r="78" spans="1:24">
      <c r="A78" s="278">
        <v>25</v>
      </c>
      <c r="B78" s="279">
        <v>3.4000000000000002E-2</v>
      </c>
      <c r="S78" s="16"/>
      <c r="X78" s="17"/>
    </row>
    <row r="79" spans="1:24">
      <c r="A79" s="278">
        <v>32</v>
      </c>
      <c r="B79" s="279">
        <v>4.2999999999999997E-2</v>
      </c>
      <c r="S79" s="16"/>
      <c r="X79" s="17"/>
    </row>
    <row r="80" spans="1:24">
      <c r="A80" s="278">
        <v>40</v>
      </c>
      <c r="B80" s="279">
        <v>4.9000000000000002E-2</v>
      </c>
      <c r="S80" s="16"/>
      <c r="X80" s="17"/>
    </row>
    <row r="81" spans="1:24">
      <c r="A81" s="278">
        <v>50</v>
      </c>
      <c r="B81" s="279">
        <v>6.0999999999999999E-2</v>
      </c>
      <c r="S81" s="16"/>
      <c r="X81" s="17"/>
    </row>
    <row r="82" spans="1:24">
      <c r="A82" s="278">
        <v>60</v>
      </c>
      <c r="B82" s="279">
        <v>7.1999999999999995E-2</v>
      </c>
      <c r="S82" s="16"/>
      <c r="X82" s="17"/>
    </row>
    <row r="83" spans="1:24">
      <c r="A83" s="278">
        <v>65</v>
      </c>
      <c r="B83" s="279">
        <v>7.6999999999999999E-2</v>
      </c>
      <c r="S83" s="16"/>
      <c r="X83" s="17"/>
    </row>
    <row r="84" spans="1:24">
      <c r="A84" s="278">
        <v>80</v>
      </c>
      <c r="B84" s="279">
        <v>8.8999999999999996E-2</v>
      </c>
      <c r="S84" s="16"/>
      <c r="X84" s="17"/>
    </row>
    <row r="85" spans="1:24">
      <c r="A85" s="278">
        <v>100</v>
      </c>
      <c r="B85" s="279">
        <v>0.115</v>
      </c>
      <c r="S85" s="16"/>
      <c r="X85" s="17"/>
    </row>
    <row r="86" spans="1:24">
      <c r="A86" s="278">
        <v>125</v>
      </c>
      <c r="B86" s="279">
        <v>0.14099999999999999</v>
      </c>
      <c r="S86" s="16"/>
      <c r="X86" s="17"/>
    </row>
    <row r="87" spans="1:24">
      <c r="A87" s="278">
        <v>150</v>
      </c>
      <c r="B87" s="279">
        <v>0.16900000000000001</v>
      </c>
      <c r="S87" s="16"/>
      <c r="X87" s="17"/>
    </row>
    <row r="88" spans="1:24">
      <c r="A88" s="278">
        <v>200</v>
      </c>
      <c r="B88" s="279">
        <v>0.22</v>
      </c>
      <c r="S88" s="16"/>
      <c r="X88" s="17"/>
    </row>
    <row r="89" spans="1:24">
      <c r="A89" s="278">
        <v>250</v>
      </c>
      <c r="B89" s="279">
        <v>0.27300000000000002</v>
      </c>
      <c r="S89" s="16"/>
      <c r="X89" s="17"/>
    </row>
    <row r="90" spans="1:24">
      <c r="A90" s="278">
        <v>300</v>
      </c>
      <c r="B90" s="279">
        <v>0.32400000000000001</v>
      </c>
      <c r="S90" s="16"/>
      <c r="X90" s="17"/>
    </row>
    <row r="91" spans="1:24">
      <c r="A91" s="278">
        <v>350</v>
      </c>
      <c r="B91" s="279">
        <v>0.35599999999999998</v>
      </c>
      <c r="S91" s="16"/>
      <c r="X91" s="17"/>
    </row>
    <row r="92" spans="1:24">
      <c r="A92" s="278">
        <v>400</v>
      </c>
      <c r="B92" s="279">
        <v>0.40699999999999997</v>
      </c>
      <c r="S92" s="16"/>
      <c r="X92" s="17"/>
    </row>
    <row r="93" spans="1:24">
      <c r="A93" s="278">
        <v>450</v>
      </c>
      <c r="B93" s="279">
        <v>0.45800000000000002</v>
      </c>
      <c r="S93" s="16"/>
      <c r="X93" s="17"/>
    </row>
    <row r="94" spans="1:24">
      <c r="A94" s="278">
        <v>500</v>
      </c>
      <c r="B94" s="279">
        <v>0.50800000000000001</v>
      </c>
      <c r="S94" s="16"/>
      <c r="X94" s="17"/>
    </row>
    <row r="95" spans="1:24">
      <c r="A95" s="278">
        <v>600</v>
      </c>
      <c r="B95" s="279">
        <v>0.61</v>
      </c>
      <c r="S95" s="16"/>
      <c r="X95" s="17"/>
    </row>
    <row r="96" spans="1:24">
      <c r="A96" s="278">
        <v>700</v>
      </c>
      <c r="B96" s="279">
        <v>0.71199999999999997</v>
      </c>
      <c r="S96" s="16"/>
      <c r="X96" s="17"/>
    </row>
    <row r="97" spans="1:24">
      <c r="A97" s="278">
        <v>800</v>
      </c>
      <c r="B97" s="279">
        <v>0.81299999999999994</v>
      </c>
      <c r="S97" s="16"/>
      <c r="X97" s="17"/>
    </row>
    <row r="98" spans="1:24">
      <c r="A98" s="278">
        <v>900</v>
      </c>
      <c r="B98" s="279">
        <v>0.91500000000000004</v>
      </c>
      <c r="S98" s="16"/>
      <c r="X98" s="17"/>
    </row>
    <row r="99" spans="1:24">
      <c r="A99" s="278">
        <v>1000</v>
      </c>
      <c r="B99" s="279">
        <v>1.016</v>
      </c>
      <c r="S99" s="16"/>
      <c r="X99" s="17"/>
    </row>
    <row r="100" spans="1:24">
      <c r="A100" s="278">
        <v>1100</v>
      </c>
      <c r="B100" s="279">
        <v>1.1200000000000001</v>
      </c>
      <c r="S100" s="16"/>
      <c r="X100" s="17"/>
    </row>
    <row r="101" spans="1:24">
      <c r="A101" s="278">
        <v>1200</v>
      </c>
      <c r="B101" s="279">
        <v>1.22</v>
      </c>
      <c r="S101" s="16"/>
      <c r="X101" s="17"/>
    </row>
    <row r="102" spans="1:24">
      <c r="A102" s="278">
        <v>1400</v>
      </c>
      <c r="B102" s="279">
        <v>1.42</v>
      </c>
      <c r="S102" s="16"/>
      <c r="X102" s="17"/>
    </row>
    <row r="103" spans="1:24">
      <c r="A103" s="278">
        <v>1500</v>
      </c>
      <c r="B103" s="279">
        <v>1.52</v>
      </c>
      <c r="S103" s="16"/>
      <c r="X103" s="17"/>
    </row>
    <row r="104" spans="1:24">
      <c r="A104" s="278">
        <v>1600</v>
      </c>
      <c r="B104" s="279">
        <v>1.62</v>
      </c>
      <c r="S104" s="16"/>
      <c r="X104" s="17"/>
    </row>
    <row r="105" spans="1:24">
      <c r="A105" s="278">
        <v>1800</v>
      </c>
      <c r="B105" s="279">
        <v>1.82</v>
      </c>
      <c r="S105" s="16"/>
      <c r="X105" s="17"/>
    </row>
    <row r="106" spans="1:24">
      <c r="A106" s="278">
        <v>2000</v>
      </c>
      <c r="B106" s="279">
        <v>2.02</v>
      </c>
      <c r="S106" s="16"/>
      <c r="X106" s="17"/>
    </row>
    <row r="107" spans="1:24">
      <c r="A107" s="278">
        <v>2000</v>
      </c>
      <c r="B107" s="279">
        <v>2.02</v>
      </c>
      <c r="S107" s="16"/>
      <c r="X107" s="17"/>
    </row>
    <row r="108" spans="1:24">
      <c r="A108" s="278">
        <v>2200</v>
      </c>
      <c r="B108" s="279">
        <v>2.2200000000000002</v>
      </c>
      <c r="S108" s="16"/>
      <c r="X108" s="17"/>
    </row>
    <row r="109" spans="1:24">
      <c r="A109" s="278">
        <v>2400</v>
      </c>
      <c r="B109" s="279">
        <v>2.42</v>
      </c>
      <c r="S109" s="16"/>
      <c r="X109" s="17"/>
    </row>
    <row r="110" spans="1:24">
      <c r="A110" s="278">
        <v>2600</v>
      </c>
      <c r="B110" s="279">
        <v>2.62</v>
      </c>
      <c r="S110" s="16"/>
      <c r="X110" s="17"/>
    </row>
    <row r="111" spans="1:24">
      <c r="A111" s="278">
        <v>2800</v>
      </c>
      <c r="B111" s="279">
        <v>2.82</v>
      </c>
      <c r="S111" s="16"/>
      <c r="X111" s="17"/>
    </row>
    <row r="112" spans="1:24">
      <c r="A112" s="278">
        <v>3000</v>
      </c>
      <c r="B112" s="279">
        <v>3.02</v>
      </c>
      <c r="S112" s="16"/>
      <c r="X112" s="17"/>
    </row>
    <row r="113" spans="1:24">
      <c r="A113" s="278">
        <v>3200</v>
      </c>
      <c r="B113" s="279">
        <v>3.22</v>
      </c>
      <c r="S113" s="16"/>
      <c r="X113" s="17"/>
    </row>
    <row r="114" spans="1:24">
      <c r="A114" s="278">
        <v>3400</v>
      </c>
      <c r="B114" s="279">
        <v>3.42</v>
      </c>
      <c r="S114" s="16"/>
      <c r="X114" s="17"/>
    </row>
    <row r="117" spans="1:24" ht="75.75" thickBot="1">
      <c r="A117" s="802" t="s">
        <v>5</v>
      </c>
      <c r="B117" s="803"/>
      <c r="C117" s="494" t="s">
        <v>158</v>
      </c>
      <c r="D117" s="494" t="s">
        <v>102</v>
      </c>
      <c r="E117" s="494" t="s">
        <v>103</v>
      </c>
      <c r="F117" s="82"/>
      <c r="G117" s="82" t="s">
        <v>285</v>
      </c>
      <c r="H117" s="82" t="s">
        <v>30</v>
      </c>
      <c r="I117" s="84" t="s">
        <v>78</v>
      </c>
      <c r="J117" s="82" t="s">
        <v>59</v>
      </c>
      <c r="K117" s="82" t="s">
        <v>58</v>
      </c>
      <c r="L117" s="83" t="s">
        <v>13</v>
      </c>
      <c r="M117" s="112" t="s">
        <v>106</v>
      </c>
      <c r="N117" s="83" t="s">
        <v>104</v>
      </c>
      <c r="O117" s="83" t="s">
        <v>105</v>
      </c>
      <c r="P117" s="83" t="s">
        <v>26</v>
      </c>
      <c r="Q117" s="113" t="s">
        <v>107</v>
      </c>
      <c r="R117" s="78" t="s">
        <v>172</v>
      </c>
      <c r="S117" s="80" t="s">
        <v>84</v>
      </c>
      <c r="T117" s="80" t="s">
        <v>85</v>
      </c>
      <c r="U117" s="888" t="s">
        <v>60</v>
      </c>
      <c r="V117" s="888"/>
    </row>
    <row r="118" spans="1:24" ht="19.5" thickBot="1">
      <c r="A118" s="889"/>
      <c r="B118" s="890"/>
      <c r="C118" s="490"/>
      <c r="D118" s="512" t="s">
        <v>368</v>
      </c>
      <c r="E118" s="225"/>
      <c r="F118" s="490"/>
      <c r="G118" s="224"/>
      <c r="H118" s="224"/>
      <c r="I118" s="228"/>
      <c r="J118" s="224"/>
      <c r="K118" s="228"/>
      <c r="L118" s="510">
        <v>1</v>
      </c>
      <c r="M118" s="511">
        <v>32</v>
      </c>
      <c r="N118" s="510">
        <v>33</v>
      </c>
      <c r="O118" s="510">
        <v>34</v>
      </c>
      <c r="P118" s="510">
        <f>IF(M118&lt;10,N118+L118,O118+L118)</f>
        <v>35</v>
      </c>
      <c r="Q118" s="510">
        <v>42</v>
      </c>
      <c r="R118" s="510">
        <v>43</v>
      </c>
      <c r="S118" s="513">
        <v>44</v>
      </c>
      <c r="T118" s="513">
        <v>6</v>
      </c>
      <c r="U118" s="121" t="s">
        <v>61</v>
      </c>
      <c r="V118" s="121" t="s">
        <v>23</v>
      </c>
    </row>
    <row r="119" spans="1:24" ht="15.75" thickBot="1">
      <c r="A119" s="889" t="s">
        <v>290</v>
      </c>
      <c r="B119" s="890"/>
      <c r="C119" s="490"/>
      <c r="D119" s="516">
        <v>36</v>
      </c>
      <c r="E119" s="225"/>
      <c r="F119" s="490"/>
      <c r="G119" s="227"/>
      <c r="H119" s="224"/>
      <c r="I119" s="228"/>
      <c r="J119" s="224"/>
      <c r="K119" s="228"/>
      <c r="L119" s="510">
        <v>1</v>
      </c>
      <c r="M119" s="511">
        <v>32</v>
      </c>
      <c r="N119" s="510">
        <v>33</v>
      </c>
      <c r="O119" s="510">
        <v>34</v>
      </c>
      <c r="P119" s="510">
        <f>IF(M119&lt;10,N119+L119,O119+L119)</f>
        <v>35</v>
      </c>
      <c r="Q119" s="510">
        <v>42</v>
      </c>
      <c r="R119" s="510">
        <v>45</v>
      </c>
      <c r="S119" s="230">
        <v>44</v>
      </c>
      <c r="T119" s="230">
        <v>6</v>
      </c>
      <c r="U119" s="507">
        <v>26</v>
      </c>
      <c r="V119" s="507">
        <v>28</v>
      </c>
    </row>
    <row r="120" spans="1:24">
      <c r="A120" s="889" t="s">
        <v>291</v>
      </c>
      <c r="B120" s="890"/>
      <c r="C120" s="490"/>
      <c r="D120" s="516">
        <v>37</v>
      </c>
      <c r="E120" s="225"/>
      <c r="F120" s="490"/>
      <c r="G120" s="227"/>
      <c r="H120" s="224"/>
      <c r="I120" s="228"/>
      <c r="J120" s="224"/>
      <c r="K120" s="228"/>
      <c r="L120" s="510">
        <v>1</v>
      </c>
      <c r="M120" s="511">
        <v>32</v>
      </c>
      <c r="N120" s="510">
        <v>33</v>
      </c>
      <c r="O120" s="510">
        <v>34</v>
      </c>
      <c r="P120" s="510">
        <f>IF(M120&lt;10,N120+L120,O120+L120)</f>
        <v>35</v>
      </c>
      <c r="Q120" s="510">
        <v>42</v>
      </c>
      <c r="R120" s="510">
        <v>46</v>
      </c>
      <c r="S120" s="230">
        <v>44</v>
      </c>
      <c r="T120" s="230">
        <v>6</v>
      </c>
      <c r="U120" s="507">
        <v>27</v>
      </c>
      <c r="V120" s="507">
        <v>29</v>
      </c>
    </row>
    <row r="121" spans="1:24" ht="30">
      <c r="A121" s="56"/>
      <c r="B121" s="56"/>
      <c r="C121" s="56"/>
      <c r="D121" s="56"/>
      <c r="E121" s="57" t="s">
        <v>288</v>
      </c>
      <c r="F121" s="57" t="s">
        <v>289</v>
      </c>
      <c r="G121" s="57"/>
      <c r="H121" s="57"/>
      <c r="I121" s="57"/>
      <c r="J121" s="58"/>
      <c r="K121" s="59"/>
      <c r="L121" s="58"/>
      <c r="M121" s="60"/>
      <c r="N121" s="129"/>
      <c r="O121" s="129"/>
      <c r="P121" s="891"/>
      <c r="Q121" s="891"/>
      <c r="R121" s="489" t="s">
        <v>206</v>
      </c>
      <c r="S121" s="487"/>
      <c r="T121" s="487"/>
    </row>
    <row r="122" spans="1:24" ht="18.75">
      <c r="A122" s="62"/>
      <c r="B122" s="56"/>
      <c r="C122" s="871" t="s">
        <v>51</v>
      </c>
      <c r="D122" s="872"/>
      <c r="E122" s="505">
        <v>7</v>
      </c>
      <c r="F122" s="505">
        <v>8</v>
      </c>
      <c r="G122" s="57"/>
      <c r="H122" s="57"/>
      <c r="I122" s="57"/>
      <c r="J122" s="58"/>
      <c r="K122" s="59"/>
      <c r="L122" s="75"/>
      <c r="M122" s="75"/>
      <c r="N122" s="75"/>
      <c r="O122" s="75"/>
      <c r="P122" s="493"/>
      <c r="Q122" s="493"/>
      <c r="R122" s="487"/>
      <c r="S122" s="487"/>
      <c r="T122" s="487"/>
    </row>
    <row r="123" spans="1:24" ht="16.149999999999999" customHeight="1">
      <c r="A123" s="56"/>
      <c r="B123" s="56"/>
      <c r="C123" s="871" t="s">
        <v>360</v>
      </c>
      <c r="D123" s="872"/>
      <c r="E123" s="505">
        <v>9</v>
      </c>
      <c r="F123" s="505">
        <v>10</v>
      </c>
      <c r="G123" s="57"/>
      <c r="H123" s="57"/>
      <c r="I123" s="57"/>
      <c r="J123" s="58"/>
      <c r="K123" s="59"/>
      <c r="L123" s="58"/>
      <c r="M123" s="60"/>
      <c r="N123" s="129"/>
      <c r="O123" s="129"/>
      <c r="P123" s="123"/>
      <c r="Q123" s="233"/>
      <c r="R123" s="487"/>
      <c r="S123" s="487"/>
      <c r="T123" s="487"/>
    </row>
    <row r="124" spans="1:24" ht="16.149999999999999" customHeight="1" thickBot="1">
      <c r="A124" s="56"/>
      <c r="B124" s="56"/>
      <c r="C124" s="873" t="s">
        <v>359</v>
      </c>
      <c r="D124" s="874"/>
      <c r="E124" s="505">
        <v>11</v>
      </c>
      <c r="F124" s="505">
        <v>12</v>
      </c>
      <c r="G124" s="57"/>
      <c r="H124" s="57"/>
      <c r="I124" s="57"/>
      <c r="J124" s="58"/>
      <c r="K124" s="59"/>
      <c r="L124" s="58"/>
      <c r="M124" s="60"/>
      <c r="N124" s="129"/>
      <c r="O124" s="129"/>
      <c r="P124" s="123"/>
      <c r="Q124" s="233"/>
      <c r="R124" s="487"/>
      <c r="S124" s="487"/>
      <c r="T124" s="487"/>
    </row>
    <row r="125" spans="1:24" ht="16.5" thickBot="1">
      <c r="A125" s="56"/>
      <c r="B125" s="56"/>
      <c r="C125" s="822" t="s">
        <v>361</v>
      </c>
      <c r="D125" s="823"/>
      <c r="E125" s="505">
        <v>13</v>
      </c>
      <c r="F125" s="505">
        <v>14</v>
      </c>
      <c r="G125" s="143" t="s">
        <v>46</v>
      </c>
      <c r="H125" s="57"/>
      <c r="I125" s="57"/>
      <c r="J125" s="58"/>
      <c r="K125" s="59"/>
      <c r="L125" s="58"/>
      <c r="M125" s="60"/>
      <c r="N125" s="123"/>
      <c r="O125" s="123"/>
      <c r="P125" s="129"/>
      <c r="Q125" s="129"/>
      <c r="R125" s="487"/>
      <c r="S125" s="487"/>
      <c r="T125" s="487"/>
    </row>
    <row r="126" spans="1:24" ht="16.5" thickBot="1">
      <c r="A126" s="56"/>
      <c r="B126" s="56"/>
      <c r="C126" s="875" t="s">
        <v>364</v>
      </c>
      <c r="D126" s="876" t="s">
        <v>160</v>
      </c>
      <c r="E126" s="505">
        <v>36</v>
      </c>
      <c r="F126" s="505">
        <v>37</v>
      </c>
      <c r="G126" s="222" t="s">
        <v>46</v>
      </c>
      <c r="H126" s="57"/>
      <c r="I126" s="57"/>
      <c r="J126" s="58"/>
      <c r="K126" s="59"/>
      <c r="L126" s="58"/>
      <c r="M126" s="60"/>
      <c r="N126" s="123"/>
      <c r="O126" s="123"/>
      <c r="P126" s="129"/>
      <c r="Q126" s="129"/>
      <c r="R126" s="487"/>
      <c r="S126" s="487"/>
      <c r="T126" s="487"/>
    </row>
    <row r="127" spans="1:24" ht="16.5" thickBot="1">
      <c r="A127" s="56"/>
      <c r="B127" s="56"/>
      <c r="C127" s="875" t="s">
        <v>161</v>
      </c>
      <c r="D127" s="876"/>
      <c r="E127" s="505">
        <v>38</v>
      </c>
      <c r="F127" s="505">
        <v>39</v>
      </c>
      <c r="G127" s="57"/>
      <c r="H127" s="57"/>
      <c r="I127" s="57"/>
      <c r="J127" s="58"/>
      <c r="K127" s="59"/>
      <c r="L127" s="58"/>
      <c r="M127" s="60"/>
      <c r="N127" s="123"/>
      <c r="O127" s="877">
        <v>30</v>
      </c>
      <c r="P127" s="878"/>
      <c r="Q127" s="878"/>
      <c r="R127" s="878"/>
      <c r="S127" s="878"/>
      <c r="T127" s="879"/>
    </row>
    <row r="128" spans="1:24" ht="16.5" thickBot="1">
      <c r="A128" s="56"/>
      <c r="B128" s="56"/>
      <c r="C128" s="875" t="s">
        <v>138</v>
      </c>
      <c r="D128" s="876"/>
      <c r="E128" s="505">
        <v>41</v>
      </c>
      <c r="F128" s="505"/>
      <c r="G128" s="17" t="s">
        <v>171</v>
      </c>
      <c r="H128" s="57"/>
      <c r="I128" s="57"/>
      <c r="J128" s="58"/>
      <c r="K128" s="59"/>
      <c r="L128" s="58"/>
      <c r="M128" s="60"/>
      <c r="N128" s="123"/>
      <c r="O128" s="880"/>
      <c r="P128" s="881"/>
      <c r="Q128" s="881"/>
      <c r="R128" s="881"/>
      <c r="S128" s="881"/>
      <c r="T128" s="882"/>
    </row>
    <row r="129" spans="1:20" ht="16.5" thickBot="1">
      <c r="A129" s="56"/>
      <c r="B129" s="56"/>
      <c r="C129" s="886" t="s">
        <v>363</v>
      </c>
      <c r="D129" s="887"/>
      <c r="E129" s="505">
        <v>40</v>
      </c>
      <c r="F129" s="505"/>
      <c r="G129" s="57"/>
      <c r="H129" s="57"/>
      <c r="I129" s="57"/>
      <c r="J129" s="58"/>
      <c r="K129" s="59"/>
      <c r="L129" s="58"/>
      <c r="M129" s="60"/>
      <c r="N129" s="123"/>
      <c r="O129" s="883"/>
      <c r="P129" s="884"/>
      <c r="Q129" s="884"/>
      <c r="R129" s="884"/>
      <c r="S129" s="884"/>
      <c r="T129" s="885"/>
    </row>
  </sheetData>
  <mergeCells count="76">
    <mergeCell ref="O71:Q71"/>
    <mergeCell ref="O72:Q72"/>
    <mergeCell ref="A71:C71"/>
    <mergeCell ref="O68:Q68"/>
    <mergeCell ref="O69:Q69"/>
    <mergeCell ref="A70:C70"/>
    <mergeCell ref="O70:Q70"/>
    <mergeCell ref="A58:T58"/>
    <mergeCell ref="A59:C59"/>
    <mergeCell ref="A60:C60"/>
    <mergeCell ref="B61:C61"/>
    <mergeCell ref="E61:G61"/>
    <mergeCell ref="O67:T67"/>
    <mergeCell ref="A44:B44"/>
    <mergeCell ref="A45:B45"/>
    <mergeCell ref="P8:P9"/>
    <mergeCell ref="M14:N17"/>
    <mergeCell ref="O14:P15"/>
    <mergeCell ref="M25:P27"/>
    <mergeCell ref="C21:E22"/>
    <mergeCell ref="F21:G22"/>
    <mergeCell ref="H21:H22"/>
    <mergeCell ref="C25:E26"/>
    <mergeCell ref="F25:G26"/>
    <mergeCell ref="H25:H26"/>
    <mergeCell ref="P48:Q48"/>
    <mergeCell ref="Q14:R15"/>
    <mergeCell ref="O16:P17"/>
    <mergeCell ref="C5:E6"/>
    <mergeCell ref="K5:M6"/>
    <mergeCell ref="N5:O6"/>
    <mergeCell ref="K8:M9"/>
    <mergeCell ref="N8:O9"/>
    <mergeCell ref="I13:J14"/>
    <mergeCell ref="Q16:R17"/>
    <mergeCell ref="C17:E18"/>
    <mergeCell ref="F17:G18"/>
    <mergeCell ref="M18:N21"/>
    <mergeCell ref="Q18:R19"/>
    <mergeCell ref="Q20:R21"/>
    <mergeCell ref="K13:K14"/>
    <mergeCell ref="C13:C14"/>
    <mergeCell ref="D13:E14"/>
    <mergeCell ref="F13:F14"/>
    <mergeCell ref="G13:H14"/>
    <mergeCell ref="U44:V44"/>
    <mergeCell ref="O54:T56"/>
    <mergeCell ref="C52:D52"/>
    <mergeCell ref="C53:D53"/>
    <mergeCell ref="C54:D54"/>
    <mergeCell ref="C55:D55"/>
    <mergeCell ref="C56:D56"/>
    <mergeCell ref="C49:D49"/>
    <mergeCell ref="C50:D50"/>
    <mergeCell ref="C51:D51"/>
    <mergeCell ref="A47:B47"/>
    <mergeCell ref="O18:O19"/>
    <mergeCell ref="P18:P19"/>
    <mergeCell ref="O20:O21"/>
    <mergeCell ref="P20:P21"/>
    <mergeCell ref="A46:B46"/>
    <mergeCell ref="A117:B117"/>
    <mergeCell ref="A118:B118"/>
    <mergeCell ref="A119:B119"/>
    <mergeCell ref="A120:B120"/>
    <mergeCell ref="P121:Q121"/>
    <mergeCell ref="C127:D127"/>
    <mergeCell ref="O127:T129"/>
    <mergeCell ref="C128:D128"/>
    <mergeCell ref="C129:D129"/>
    <mergeCell ref="U117:V117"/>
    <mergeCell ref="C122:D122"/>
    <mergeCell ref="C123:D123"/>
    <mergeCell ref="C124:D124"/>
    <mergeCell ref="C125:D125"/>
    <mergeCell ref="C126:D126"/>
  </mergeCells>
  <conditionalFormatting sqref="F25:G26">
    <cfRule type="cellIs" dxfId="10" priority="1" operator="greaterThan">
      <formula>55</formula>
    </cfRule>
  </conditionalFormatting>
  <dataValidations count="1">
    <dataValidation type="list" allowBlank="1" showInputMessage="1" showErrorMessage="1" promptTitle="Select a value " sqref="F17">
      <formula1>emissivity</formula1>
    </dataValidation>
  </dataValidations>
  <pageMargins left="0.7" right="0.7" top="0.75" bottom="0.75" header="0.3" footer="0.3"/>
  <pageSetup paperSize="9" orientation="portrait" horizontalDpi="0" verticalDpi="0" r:id="rId1"/>
  <drawing r:id="rId2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C59AA7-38FA-4670-9324-A20ACA52487C}">
          <x14:formula1>
            <xm:f>'Default values '!$C$2:$C$10</xm:f>
          </x14:formula1>
          <xm:sqref>N5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>
  <dimension ref="A1:AD129"/>
  <sheetViews>
    <sheetView topLeftCell="A3" workbookViewId="0">
      <selection activeCell="V21" sqref="V21"/>
    </sheetView>
  </sheetViews>
  <sheetFormatPr baseColWidth="10" defaultColWidth="8.85546875" defaultRowHeight="15"/>
  <cols>
    <col min="1" max="2" width="5.28515625" style="17" customWidth="1"/>
    <col min="3" max="3" width="15.140625" style="17" customWidth="1"/>
    <col min="4" max="4" width="8.7109375" style="17" customWidth="1"/>
    <col min="5" max="5" width="6.28515625" style="17" customWidth="1"/>
    <col min="6" max="6" width="7.7109375" style="17" customWidth="1"/>
    <col min="7" max="11" width="8.7109375" style="17" customWidth="1"/>
    <col min="12" max="12" width="8.28515625" style="17" customWidth="1"/>
    <col min="13" max="13" width="11.28515625" style="17" customWidth="1"/>
    <col min="14" max="14" width="8.7109375" style="17" customWidth="1"/>
    <col min="15" max="15" width="11" style="17" customWidth="1"/>
    <col min="16" max="16" width="12.28515625" style="17" customWidth="1"/>
    <col min="17" max="17" width="8.7109375" style="17" customWidth="1"/>
    <col min="18" max="18" width="5.7109375" style="17" customWidth="1"/>
    <col min="19" max="19" width="6.5703125" style="17" customWidth="1"/>
    <col min="20" max="24" width="8.85546875" style="16"/>
    <col min="25" max="16384" width="8.85546875" style="17"/>
  </cols>
  <sheetData>
    <row r="1" spans="1:24" ht="15" customHeight="1">
      <c r="A1" s="283"/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283"/>
    </row>
    <row r="2" spans="1:24" ht="15" customHeight="1">
      <c r="A2" s="283"/>
      <c r="B2" s="15"/>
      <c r="C2" s="15"/>
      <c r="D2" s="15"/>
      <c r="E2" s="15"/>
      <c r="F2" s="15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U2" s="157"/>
    </row>
    <row r="3" spans="1:24" ht="3.6" customHeight="1">
      <c r="A3" s="283"/>
      <c r="B3" s="21"/>
      <c r="C3" s="21"/>
      <c r="D3" s="21"/>
      <c r="E3" s="21"/>
      <c r="F3" s="21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83"/>
      <c r="U3" s="157"/>
    </row>
    <row r="4" spans="1:24" ht="5.45" customHeight="1">
      <c r="A4" s="283"/>
      <c r="B4" s="283"/>
      <c r="C4" s="283"/>
      <c r="D4" s="283"/>
      <c r="E4" s="283"/>
      <c r="F4" s="283"/>
      <c r="G4" s="329"/>
      <c r="H4" s="329"/>
      <c r="I4" s="329"/>
      <c r="J4" s="329"/>
      <c r="K4" s="283"/>
      <c r="L4" s="283"/>
      <c r="M4" s="283"/>
      <c r="N4" s="283"/>
      <c r="O4" s="283"/>
      <c r="P4" s="283"/>
      <c r="Q4" s="283"/>
      <c r="R4" s="283"/>
      <c r="S4" s="283"/>
      <c r="T4" s="24"/>
      <c r="U4" s="157"/>
    </row>
    <row r="5" spans="1:24" s="23" customFormat="1" ht="15" customHeight="1">
      <c r="A5" s="26"/>
      <c r="B5" s="28"/>
      <c r="C5" s="797" t="s">
        <v>15</v>
      </c>
      <c r="D5" s="797"/>
      <c r="E5" s="797"/>
      <c r="F5" s="32" t="s">
        <v>37</v>
      </c>
      <c r="G5" s="921" t="s">
        <v>318</v>
      </c>
      <c r="H5" s="921"/>
      <c r="I5" s="921"/>
      <c r="J5" s="921"/>
      <c r="K5" s="799" t="s">
        <v>14</v>
      </c>
      <c r="L5" s="799"/>
      <c r="M5" s="799"/>
      <c r="N5" s="920" t="s">
        <v>33</v>
      </c>
      <c r="O5" s="920"/>
      <c r="P5" s="32">
        <f>VLOOKUP(N5,'Default values '!C2:D10,2,TRUE)</f>
        <v>8760</v>
      </c>
      <c r="Q5" s="28"/>
      <c r="R5" s="28"/>
      <c r="S5" s="28"/>
      <c r="T5" s="25"/>
      <c r="U5" s="377"/>
      <c r="V5" s="22"/>
      <c r="W5" s="22"/>
      <c r="X5" s="22"/>
    </row>
    <row r="6" spans="1:24" ht="15" customHeight="1">
      <c r="A6" s="283"/>
      <c r="B6" s="14"/>
      <c r="C6" s="797"/>
      <c r="D6" s="797"/>
      <c r="E6" s="797"/>
      <c r="F6" s="32"/>
      <c r="G6" s="921"/>
      <c r="H6" s="921"/>
      <c r="I6" s="921"/>
      <c r="J6" s="921"/>
      <c r="K6" s="799"/>
      <c r="L6" s="799"/>
      <c r="M6" s="799"/>
      <c r="N6" s="920"/>
      <c r="O6" s="920"/>
      <c r="P6" s="14"/>
      <c r="Q6" s="14"/>
      <c r="R6" s="14"/>
      <c r="S6" s="14"/>
    </row>
    <row r="7" spans="1:24" ht="15" customHeight="1">
      <c r="A7" s="283"/>
      <c r="B7" s="14"/>
      <c r="C7" s="284"/>
      <c r="D7" s="284"/>
      <c r="E7" s="284"/>
      <c r="F7" s="42"/>
      <c r="G7" s="276"/>
      <c r="H7" s="276"/>
      <c r="I7" s="276"/>
      <c r="J7" s="276"/>
      <c r="K7" s="14"/>
      <c r="L7" s="14"/>
      <c r="M7" s="14"/>
      <c r="N7" s="14"/>
      <c r="O7" s="14"/>
      <c r="P7" s="14"/>
      <c r="Q7" s="14"/>
      <c r="R7" s="14"/>
      <c r="S7" s="14"/>
    </row>
    <row r="8" spans="1:24" ht="15" customHeight="1">
      <c r="A8" s="283"/>
      <c r="B8" s="14"/>
      <c r="C8" s="284"/>
      <c r="D8" s="284"/>
      <c r="E8" s="284"/>
      <c r="F8" s="42"/>
      <c r="G8" s="276"/>
      <c r="H8" s="276"/>
      <c r="I8" s="276"/>
      <c r="J8" s="276"/>
      <c r="K8" s="799"/>
      <c r="L8" s="799"/>
      <c r="M8" s="799"/>
      <c r="N8" s="801"/>
      <c r="O8" s="801"/>
      <c r="P8" s="793"/>
      <c r="Q8" s="14"/>
      <c r="R8" s="14"/>
      <c r="S8" s="14"/>
      <c r="U8" s="16" t="s">
        <v>241</v>
      </c>
    </row>
    <row r="9" spans="1:24" s="23" customFormat="1" ht="15" customHeight="1">
      <c r="A9" s="283"/>
      <c r="B9" s="14"/>
      <c r="C9" s="284"/>
      <c r="D9" s="284"/>
      <c r="E9" s="284"/>
      <c r="F9" s="42"/>
      <c r="G9" s="276"/>
      <c r="H9" s="276"/>
      <c r="I9" s="276"/>
      <c r="J9" s="276"/>
      <c r="K9" s="799"/>
      <c r="L9" s="799"/>
      <c r="M9" s="799"/>
      <c r="N9" s="801"/>
      <c r="O9" s="801"/>
      <c r="P9" s="793"/>
      <c r="Q9" s="26"/>
      <c r="R9" s="26"/>
      <c r="S9" s="26"/>
      <c r="T9" s="22"/>
      <c r="U9" s="16" t="s">
        <v>224</v>
      </c>
      <c r="V9" s="16"/>
      <c r="W9" s="16"/>
      <c r="X9" s="16"/>
    </row>
    <row r="10" spans="1:24" ht="15" customHeight="1">
      <c r="A10" s="283"/>
      <c r="B10" s="14"/>
      <c r="C10" s="284"/>
      <c r="D10" s="284"/>
      <c r="E10" s="284"/>
      <c r="F10" s="42"/>
      <c r="G10" s="42"/>
      <c r="H10" s="42"/>
      <c r="I10" s="283"/>
      <c r="J10" s="283"/>
      <c r="K10" s="283"/>
      <c r="L10" s="283"/>
      <c r="M10" s="283"/>
      <c r="N10" s="283"/>
      <c r="O10" s="283"/>
      <c r="P10" s="283"/>
      <c r="Q10" s="283"/>
      <c r="R10" s="283"/>
      <c r="S10" s="283"/>
      <c r="U10" s="16" t="s">
        <v>225</v>
      </c>
    </row>
    <row r="11" spans="1:24" ht="15" customHeight="1" thickBot="1">
      <c r="A11" s="283"/>
      <c r="B11" s="14"/>
      <c r="C11" s="14"/>
      <c r="D11" s="14"/>
      <c r="E11" s="14"/>
      <c r="F11" s="14"/>
      <c r="G11" s="14"/>
      <c r="H11" s="14"/>
      <c r="I11" s="283"/>
      <c r="J11" s="283"/>
      <c r="K11" s="283"/>
      <c r="L11" s="283"/>
      <c r="M11" s="283"/>
      <c r="N11" s="283"/>
      <c r="O11" s="283"/>
      <c r="P11" s="283"/>
      <c r="Q11" s="283"/>
      <c r="R11" s="283"/>
      <c r="S11" s="283"/>
      <c r="U11" s="22"/>
      <c r="V11" s="22"/>
      <c r="W11" s="22"/>
      <c r="X11" s="22"/>
    </row>
    <row r="12" spans="1:24" ht="15" customHeight="1" thickTop="1">
      <c r="A12" s="283"/>
      <c r="B12" s="29"/>
      <c r="C12" s="30"/>
      <c r="D12" s="30"/>
      <c r="E12" s="30"/>
      <c r="F12" s="30"/>
      <c r="G12" s="30"/>
      <c r="H12" s="30"/>
      <c r="I12" s="6"/>
      <c r="J12" s="6"/>
      <c r="K12" s="48"/>
      <c r="L12" s="283"/>
      <c r="M12" s="15"/>
      <c r="N12" s="15"/>
      <c r="O12" s="15"/>
      <c r="P12" s="15"/>
      <c r="Q12" s="15"/>
      <c r="R12" s="15"/>
      <c r="S12" s="283"/>
      <c r="U12" s="918" t="s">
        <v>226</v>
      </c>
      <c r="V12" s="919"/>
      <c r="W12" s="919"/>
      <c r="X12" s="919"/>
    </row>
    <row r="13" spans="1:24" s="23" customFormat="1" ht="15" customHeight="1">
      <c r="A13" s="26"/>
      <c r="B13" s="31"/>
      <c r="C13" s="901" t="s">
        <v>394</v>
      </c>
      <c r="D13" s="902">
        <v>80</v>
      </c>
      <c r="E13" s="902"/>
      <c r="F13" s="793"/>
      <c r="G13" s="922" t="s">
        <v>396</v>
      </c>
      <c r="H13" s="922"/>
      <c r="I13" s="902">
        <v>6</v>
      </c>
      <c r="J13" s="923">
        <v>0.5</v>
      </c>
      <c r="K13" s="900"/>
      <c r="L13" s="26"/>
      <c r="M13" s="41"/>
      <c r="N13" s="41"/>
      <c r="O13" s="41"/>
      <c r="P13" s="41"/>
      <c r="Q13" s="41"/>
      <c r="R13" s="41"/>
      <c r="S13" s="26"/>
      <c r="T13" s="22"/>
      <c r="U13" s="919"/>
      <c r="V13" s="919"/>
      <c r="W13" s="919"/>
      <c r="X13" s="919"/>
    </row>
    <row r="14" spans="1:24" ht="15" customHeight="1">
      <c r="A14" s="283"/>
      <c r="B14" s="8"/>
      <c r="C14" s="901"/>
      <c r="D14" s="902"/>
      <c r="E14" s="902"/>
      <c r="F14" s="793"/>
      <c r="G14" s="922"/>
      <c r="H14" s="922"/>
      <c r="I14" s="902"/>
      <c r="J14" s="923"/>
      <c r="K14" s="900"/>
      <c r="L14" s="26"/>
      <c r="M14" s="851" t="s">
        <v>163</v>
      </c>
      <c r="N14" s="851"/>
      <c r="O14" s="845">
        <f>IF(F25=0,"",T45)</f>
        <v>24273.127776899528</v>
      </c>
      <c r="P14" s="845"/>
      <c r="Q14" s="839" t="str">
        <f>IF(F25="","","kWh/a")</f>
        <v>kWh/a</v>
      </c>
      <c r="R14" s="839"/>
      <c r="S14" s="283"/>
      <c r="U14" s="919"/>
      <c r="V14" s="919"/>
      <c r="W14" s="919"/>
      <c r="X14" s="919"/>
    </row>
    <row r="15" spans="1:24" ht="15" customHeight="1">
      <c r="A15" s="283"/>
      <c r="B15" s="8"/>
      <c r="C15" s="283"/>
      <c r="D15" s="283"/>
      <c r="E15" s="283"/>
      <c r="F15" s="33"/>
      <c r="G15" s="33"/>
      <c r="H15" s="283"/>
      <c r="I15" s="15"/>
      <c r="J15" s="15"/>
      <c r="K15" s="40"/>
      <c r="L15" s="15"/>
      <c r="M15" s="851"/>
      <c r="N15" s="851"/>
      <c r="O15" s="845"/>
      <c r="P15" s="845"/>
      <c r="Q15" s="839"/>
      <c r="R15" s="839"/>
      <c r="S15" s="283"/>
      <c r="U15" s="919"/>
      <c r="V15" s="919"/>
      <c r="W15" s="919"/>
      <c r="X15" s="919"/>
    </row>
    <row r="16" spans="1:24" ht="15" customHeight="1">
      <c r="A16" s="283"/>
      <c r="B16" s="8"/>
      <c r="C16" s="283"/>
      <c r="D16" s="283"/>
      <c r="E16" s="283"/>
      <c r="F16" s="33"/>
      <c r="G16" s="33"/>
      <c r="H16" s="283"/>
      <c r="I16" s="27"/>
      <c r="J16" s="27"/>
      <c r="K16" s="40"/>
      <c r="L16" s="27"/>
      <c r="M16" s="851"/>
      <c r="N16" s="851"/>
      <c r="O16" s="840">
        <f>IF(F25=0,"",U45)</f>
        <v>873.83259996838297</v>
      </c>
      <c r="P16" s="840"/>
      <c r="Q16" s="841" t="str">
        <f>IF(F25=0,"","€/a")</f>
        <v>€/a</v>
      </c>
      <c r="R16" s="841"/>
      <c r="S16" s="283"/>
      <c r="U16" s="919"/>
      <c r="V16" s="919"/>
      <c r="W16" s="919"/>
      <c r="X16" s="919"/>
    </row>
    <row r="17" spans="1:24" s="23" customFormat="1" ht="15" customHeight="1">
      <c r="A17" s="26"/>
      <c r="B17" s="31"/>
      <c r="C17" s="793" t="s">
        <v>99</v>
      </c>
      <c r="D17" s="793"/>
      <c r="E17" s="793"/>
      <c r="F17" s="838" t="s">
        <v>327</v>
      </c>
      <c r="G17" s="838"/>
      <c r="H17" s="47">
        <f>IF(F17="","",VLOOKUP(F17,'Default values '!A2:B7,2,FALSE))</f>
        <v>0.8</v>
      </c>
      <c r="I17" s="27"/>
      <c r="J17" s="27"/>
      <c r="K17" s="46"/>
      <c r="L17" s="27"/>
      <c r="M17" s="851"/>
      <c r="N17" s="851"/>
      <c r="O17" s="840"/>
      <c r="P17" s="840"/>
      <c r="Q17" s="841"/>
      <c r="R17" s="841"/>
      <c r="S17" s="26"/>
      <c r="T17" s="22"/>
      <c r="U17" s="22"/>
      <c r="V17" s="22"/>
      <c r="W17" s="22"/>
      <c r="X17" s="22"/>
    </row>
    <row r="18" spans="1:24" ht="15" customHeight="1">
      <c r="A18" s="283"/>
      <c r="B18" s="8"/>
      <c r="C18" s="793"/>
      <c r="D18" s="793"/>
      <c r="E18" s="793"/>
      <c r="F18" s="838"/>
      <c r="G18" s="838"/>
      <c r="H18" s="15"/>
      <c r="I18" s="283"/>
      <c r="J18" s="283"/>
      <c r="K18" s="9"/>
      <c r="L18" s="283"/>
      <c r="M18" s="842" t="s">
        <v>164</v>
      </c>
      <c r="N18" s="842"/>
      <c r="O18" s="916">
        <f>IF(F25=0,"",V46)</f>
        <v>21514.800916437664</v>
      </c>
      <c r="P18" s="916">
        <f>IF(F25=0,"",V47)</f>
        <v>23144.301873648899</v>
      </c>
      <c r="Q18" s="898" t="str">
        <f>IF(O18="","","kWh/a")</f>
        <v>kWh/a</v>
      </c>
      <c r="R18" s="898"/>
      <c r="S18" s="283"/>
    </row>
    <row r="19" spans="1:24" ht="15" customHeight="1">
      <c r="A19" s="283"/>
      <c r="B19" s="8"/>
      <c r="C19" s="15"/>
      <c r="D19" s="15"/>
      <c r="E19" s="15"/>
      <c r="F19" s="33"/>
      <c r="G19" s="33"/>
      <c r="H19" s="15"/>
      <c r="I19" s="283"/>
      <c r="J19" s="283"/>
      <c r="K19" s="9"/>
      <c r="L19" s="283"/>
      <c r="M19" s="842"/>
      <c r="N19" s="842"/>
      <c r="O19" s="916"/>
      <c r="P19" s="916"/>
      <c r="Q19" s="898"/>
      <c r="R19" s="898"/>
      <c r="S19" s="283"/>
    </row>
    <row r="20" spans="1:24" ht="15" customHeight="1">
      <c r="A20" s="283"/>
      <c r="B20" s="8"/>
      <c r="C20" s="283"/>
      <c r="D20" s="283"/>
      <c r="E20" s="283"/>
      <c r="F20" s="33"/>
      <c r="G20" s="33"/>
      <c r="H20" s="283"/>
      <c r="I20" s="283"/>
      <c r="J20" s="283"/>
      <c r="K20" s="9"/>
      <c r="L20" s="283"/>
      <c r="M20" s="842"/>
      <c r="N20" s="842"/>
      <c r="O20" s="917">
        <f>IF(F25=0,"",W46)</f>
        <v>774.53283299175587</v>
      </c>
      <c r="P20" s="917">
        <f>IF(F25=0,"",W47)</f>
        <v>833.19486745136032</v>
      </c>
      <c r="Q20" s="899" t="str">
        <f>IF(F25=0,"","€/a")</f>
        <v>€/a</v>
      </c>
      <c r="R20" s="899"/>
      <c r="S20" s="283"/>
    </row>
    <row r="21" spans="1:24" s="23" customFormat="1" ht="15" customHeight="1">
      <c r="A21" s="26"/>
      <c r="B21" s="31"/>
      <c r="C21" s="793" t="s">
        <v>36</v>
      </c>
      <c r="D21" s="793"/>
      <c r="E21" s="793"/>
      <c r="F21" s="850">
        <v>37</v>
      </c>
      <c r="G21" s="850"/>
      <c r="H21" s="793" t="s">
        <v>22</v>
      </c>
      <c r="I21" s="26"/>
      <c r="J21" s="26"/>
      <c r="K21" s="46"/>
      <c r="L21" s="26"/>
      <c r="M21" s="842"/>
      <c r="N21" s="842"/>
      <c r="O21" s="917"/>
      <c r="P21" s="917"/>
      <c r="Q21" s="899"/>
      <c r="R21" s="899"/>
      <c r="S21" s="26"/>
      <c r="T21" s="22"/>
      <c r="U21" s="22"/>
      <c r="V21" s="22"/>
      <c r="W21" s="22"/>
      <c r="X21" s="22"/>
    </row>
    <row r="22" spans="1:24" ht="15" customHeight="1">
      <c r="A22" s="283"/>
      <c r="B22" s="8"/>
      <c r="C22" s="793"/>
      <c r="D22" s="793"/>
      <c r="E22" s="793"/>
      <c r="F22" s="850"/>
      <c r="G22" s="850"/>
      <c r="H22" s="793"/>
      <c r="I22" s="283"/>
      <c r="J22" s="283"/>
      <c r="K22" s="9"/>
      <c r="L22" s="283"/>
      <c r="M22" s="41"/>
      <c r="N22" s="41"/>
      <c r="O22" s="41"/>
      <c r="P22" s="41"/>
      <c r="Q22" s="41"/>
      <c r="R22" s="41"/>
      <c r="S22" s="283"/>
    </row>
    <row r="23" spans="1:24" ht="15" customHeight="1">
      <c r="A23" s="283"/>
      <c r="B23" s="8"/>
      <c r="C23" s="283"/>
      <c r="D23" s="283"/>
      <c r="E23" s="283"/>
      <c r="F23" s="283"/>
      <c r="G23" s="283"/>
      <c r="H23" s="18"/>
      <c r="I23" s="19"/>
      <c r="J23" s="19"/>
      <c r="K23" s="40"/>
      <c r="L23" s="283"/>
      <c r="M23" s="45"/>
      <c r="N23" s="43"/>
      <c r="O23" s="43"/>
      <c r="P23" s="43"/>
      <c r="Q23" s="43"/>
      <c r="R23" s="43"/>
      <c r="S23" s="283"/>
    </row>
    <row r="24" spans="1:24" ht="15" customHeight="1">
      <c r="A24" s="283"/>
      <c r="B24" s="8"/>
      <c r="C24" s="283"/>
      <c r="D24" s="283"/>
      <c r="E24" s="283"/>
      <c r="F24" s="283"/>
      <c r="G24" s="283"/>
      <c r="H24" s="19"/>
      <c r="I24" s="19"/>
      <c r="J24" s="19"/>
      <c r="K24" s="40"/>
      <c r="L24" s="283"/>
      <c r="M24" s="49"/>
      <c r="N24" s="44"/>
      <c r="O24" s="44"/>
      <c r="P24" s="44"/>
      <c r="Q24" s="43"/>
      <c r="R24" s="43"/>
      <c r="S24" s="283"/>
    </row>
    <row r="25" spans="1:24" ht="15" customHeight="1">
      <c r="A25" s="26"/>
      <c r="B25" s="8"/>
      <c r="C25" s="793" t="s">
        <v>284</v>
      </c>
      <c r="D25" s="793"/>
      <c r="E25" s="793"/>
      <c r="F25" s="850">
        <v>204</v>
      </c>
      <c r="G25" s="850"/>
      <c r="H25" s="793" t="s">
        <v>22</v>
      </c>
      <c r="I25" s="19"/>
      <c r="J25" s="19"/>
      <c r="K25" s="40"/>
      <c r="L25" s="283"/>
      <c r="M25" s="856" t="str">
        <f>IF(F25="","",O54)</f>
        <v>Insulation recommended</v>
      </c>
      <c r="N25" s="856"/>
      <c r="O25" s="856"/>
      <c r="P25" s="856"/>
      <c r="Q25" s="43"/>
      <c r="R25" s="43"/>
      <c r="S25" s="283"/>
    </row>
    <row r="26" spans="1:24" ht="15" customHeight="1">
      <c r="A26" s="283"/>
      <c r="B26" s="8"/>
      <c r="C26" s="793"/>
      <c r="D26" s="793"/>
      <c r="E26" s="793"/>
      <c r="F26" s="850"/>
      <c r="G26" s="850"/>
      <c r="H26" s="793"/>
      <c r="I26" s="19"/>
      <c r="J26" s="19"/>
      <c r="K26" s="40"/>
      <c r="L26" s="283"/>
      <c r="M26" s="856"/>
      <c r="N26" s="856"/>
      <c r="O26" s="856"/>
      <c r="P26" s="856"/>
      <c r="Q26" s="43"/>
      <c r="R26" s="283"/>
      <c r="S26" s="283"/>
    </row>
    <row r="27" spans="1:24" ht="15" customHeight="1" thickBot="1">
      <c r="A27" s="283"/>
      <c r="B27" s="10"/>
      <c r="C27" s="11"/>
      <c r="D27" s="11"/>
      <c r="E27" s="11"/>
      <c r="F27" s="11"/>
      <c r="G27" s="11"/>
      <c r="H27" s="11"/>
      <c r="I27" s="11"/>
      <c r="J27" s="11"/>
      <c r="K27" s="12"/>
      <c r="L27" s="283"/>
      <c r="M27" s="856"/>
      <c r="N27" s="856"/>
      <c r="O27" s="856"/>
      <c r="P27" s="856"/>
      <c r="Q27" s="43"/>
      <c r="R27" s="283"/>
      <c r="S27" s="283"/>
    </row>
    <row r="28" spans="1:24" ht="15" customHeight="1" thickTop="1" thickBot="1">
      <c r="A28" s="283"/>
      <c r="B28" s="283"/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3"/>
      <c r="N28" s="283"/>
      <c r="O28" s="283"/>
      <c r="P28" s="283"/>
      <c r="Q28" s="283"/>
      <c r="R28" s="283"/>
      <c r="S28" s="283"/>
    </row>
    <row r="29" spans="1:24" ht="15" customHeight="1" thickTop="1">
      <c r="A29" s="28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283"/>
    </row>
    <row r="30" spans="1:24">
      <c r="A30" s="283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</row>
    <row r="31" spans="1:24">
      <c r="A31" s="283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</row>
    <row r="32" spans="1:24">
      <c r="A32" s="283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</row>
    <row r="33" spans="1:30">
      <c r="A33" s="283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</row>
    <row r="34" spans="1:30">
      <c r="A34" s="283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</row>
    <row r="35" spans="1:30">
      <c r="A35" s="283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</row>
    <row r="36" spans="1:30">
      <c r="A36" s="283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</row>
    <row r="37" spans="1:30">
      <c r="A37" s="283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</row>
    <row r="38" spans="1:30">
      <c r="A38" s="283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</row>
    <row r="39" spans="1:30">
      <c r="A39" s="283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</row>
    <row r="40" spans="1:30">
      <c r="A40" s="283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</row>
    <row r="41" spans="1:30">
      <c r="A41" s="283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</row>
    <row r="42" spans="1:30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</row>
    <row r="43" spans="1:30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</row>
    <row r="44" spans="1:30" ht="68.25" thickBot="1">
      <c r="A44" s="802" t="s">
        <v>5</v>
      </c>
      <c r="B44" s="803"/>
      <c r="C44" s="286" t="s">
        <v>158</v>
      </c>
      <c r="D44" s="286" t="s">
        <v>102</v>
      </c>
      <c r="E44" s="286" t="s">
        <v>103</v>
      </c>
      <c r="F44" s="82"/>
      <c r="G44" s="82" t="s">
        <v>29</v>
      </c>
      <c r="H44" s="82" t="s">
        <v>30</v>
      </c>
      <c r="I44" s="84" t="s">
        <v>78</v>
      </c>
      <c r="J44" s="82" t="s">
        <v>59</v>
      </c>
      <c r="K44" s="82" t="s">
        <v>58</v>
      </c>
      <c r="L44" s="82" t="s">
        <v>369</v>
      </c>
      <c r="M44" s="83" t="s">
        <v>13</v>
      </c>
      <c r="N44" s="112" t="s">
        <v>106</v>
      </c>
      <c r="O44" s="83" t="s">
        <v>104</v>
      </c>
      <c r="P44" s="83" t="s">
        <v>105</v>
      </c>
      <c r="Q44" s="83" t="s">
        <v>26</v>
      </c>
      <c r="R44" s="113" t="s">
        <v>107</v>
      </c>
      <c r="S44" s="78" t="s">
        <v>365</v>
      </c>
      <c r="T44" s="80" t="s">
        <v>84</v>
      </c>
      <c r="U44" s="80" t="s">
        <v>85</v>
      </c>
      <c r="V44" s="888" t="s">
        <v>60</v>
      </c>
      <c r="W44" s="888"/>
      <c r="X44" s="115"/>
      <c r="Y44" s="114"/>
      <c r="Z44" s="114"/>
      <c r="AA44" s="114"/>
      <c r="AB44" s="16"/>
      <c r="AC44" s="16"/>
      <c r="AD44" s="16"/>
    </row>
    <row r="45" spans="1:30" ht="19.5" thickBot="1">
      <c r="A45" s="889">
        <f>G4</f>
        <v>0</v>
      </c>
      <c r="B45" s="890"/>
      <c r="C45" s="287">
        <f>D13</f>
        <v>80</v>
      </c>
      <c r="D45" s="226">
        <f>VLOOKUP(C45,A75:B114,2,TRUE)</f>
        <v>8.8999999999999996E-2</v>
      </c>
      <c r="E45" s="509">
        <f>J13</f>
        <v>0.5</v>
      </c>
      <c r="F45" s="287"/>
      <c r="G45" s="224">
        <f>F25</f>
        <v>204</v>
      </c>
      <c r="H45" s="224">
        <f>F21</f>
        <v>37</v>
      </c>
      <c r="I45" s="228">
        <f>H17</f>
        <v>0.8</v>
      </c>
      <c r="J45" s="224">
        <f>P5</f>
        <v>8760</v>
      </c>
      <c r="K45" s="228">
        <f>TBi!L27</f>
        <v>3.5999999999999997E-2</v>
      </c>
      <c r="L45" s="224">
        <f>I13</f>
        <v>6</v>
      </c>
      <c r="M45" s="125">
        <f>IF(G45=0,"",I45*D60*(((G45+273)^4-(H45+273)^4)/(G45-H45)))</f>
        <v>11.553759390803528</v>
      </c>
      <c r="N45" s="159">
        <f>D45^3*ABS(G45-H45)</f>
        <v>0.117729823</v>
      </c>
      <c r="O45" s="126">
        <f>IF(G45=0,"",1.25*(ABS(G45-H45)/D45)^0.25)</f>
        <v>8.2270024972577289</v>
      </c>
      <c r="P45" s="126">
        <f>1.21*(ABS(G45-H45))^0.33</f>
        <v>6.550610934276456</v>
      </c>
      <c r="Q45" s="126">
        <f>IF(N45&lt;10,O45+M45,P45+M45)</f>
        <v>19.780761888061257</v>
      </c>
      <c r="R45" s="160">
        <f>1/(D59*Q45*D45)</f>
        <v>0.1808073537262361</v>
      </c>
      <c r="S45" s="127">
        <f>IF(G45=0,"",ABS(G45-H45)/R45)</f>
        <v>923.63499912098666</v>
      </c>
      <c r="T45" s="128">
        <f>IF(G45="","",L45*S45*J45*E45/1000)</f>
        <v>24273.127776899528</v>
      </c>
      <c r="U45" s="174">
        <f>IF(G45=0,"",T45*K45)</f>
        <v>873.83259996838297</v>
      </c>
      <c r="V45" s="121" t="s">
        <v>61</v>
      </c>
      <c r="W45" s="121" t="s">
        <v>23</v>
      </c>
      <c r="X45" s="116"/>
      <c r="Y45" s="117"/>
      <c r="Z45" s="117"/>
      <c r="AA45" s="117"/>
      <c r="AB45" s="16"/>
      <c r="AC45" s="16"/>
      <c r="AD45" s="16"/>
    </row>
    <row r="46" spans="1:30" ht="15.75" thickBot="1">
      <c r="A46" s="889" t="s">
        <v>100</v>
      </c>
      <c r="B46" s="890"/>
      <c r="C46" s="287"/>
      <c r="D46" s="226">
        <f>E53</f>
        <v>0.189</v>
      </c>
      <c r="E46" s="509">
        <f t="shared" ref="E46:K47" si="0">E45</f>
        <v>0.5</v>
      </c>
      <c r="F46" s="287"/>
      <c r="G46" s="227">
        <f t="shared" si="0"/>
        <v>204</v>
      </c>
      <c r="H46" s="224">
        <f t="shared" si="0"/>
        <v>37</v>
      </c>
      <c r="I46" s="228">
        <f t="shared" si="0"/>
        <v>0.8</v>
      </c>
      <c r="J46" s="224">
        <f t="shared" si="0"/>
        <v>8760</v>
      </c>
      <c r="K46" s="228">
        <f t="shared" si="0"/>
        <v>3.5999999999999997E-2</v>
      </c>
      <c r="L46" s="224">
        <f>I13</f>
        <v>6</v>
      </c>
      <c r="M46" s="125">
        <f>IF(G46=0,"",I46*D60*(((G46+273)^4-(H46+273)^4)/(G46-H46)))</f>
        <v>11.553759390803528</v>
      </c>
      <c r="N46" s="159">
        <f>D46^3*ABS(G46-H46)</f>
        <v>1.127461923</v>
      </c>
      <c r="O46" s="126">
        <f>IF(G46=0,"",1.25*(ABS(G46-H46)/D46)^0.25)</f>
        <v>6.815122706887017</v>
      </c>
      <c r="P46" s="126">
        <f>1.21*(ABS(G46-H46))^0.33</f>
        <v>6.550610934276456</v>
      </c>
      <c r="Q46" s="126">
        <f>IF(N46&lt;10,O46+M46,P46+M46)</f>
        <v>18.368882097690545</v>
      </c>
      <c r="R46" s="160">
        <f>1/(D59*Q46*D46)</f>
        <v>9.1686328252653229E-2</v>
      </c>
      <c r="S46" s="127">
        <f>ABS(G45-H45)/(E54+R46)</f>
        <v>104.95916516217135</v>
      </c>
      <c r="T46" s="230">
        <f>IF(G46=0,"",L46*S46*J46*E46/1000)</f>
        <v>2758.3268604618629</v>
      </c>
      <c r="U46" s="231">
        <f>IF(G46=0,"",T46*K46)</f>
        <v>99.299766976627055</v>
      </c>
      <c r="V46" s="79">
        <f>T45-T46</f>
        <v>21514.800916437664</v>
      </c>
      <c r="W46" s="173">
        <f>U45-U46</f>
        <v>774.53283299175587</v>
      </c>
      <c r="X46" s="116"/>
      <c r="Y46" s="117"/>
      <c r="Z46" s="117"/>
      <c r="AA46" s="117"/>
      <c r="AB46" s="16"/>
      <c r="AC46" s="16"/>
      <c r="AD46" s="16"/>
    </row>
    <row r="47" spans="1:30">
      <c r="A47" s="889" t="s">
        <v>291</v>
      </c>
      <c r="B47" s="890"/>
      <c r="C47" s="381"/>
      <c r="D47" s="226">
        <f>F53</f>
        <v>0.58899999999999997</v>
      </c>
      <c r="E47" s="509">
        <f t="shared" si="0"/>
        <v>0.5</v>
      </c>
      <c r="F47" s="381"/>
      <c r="G47" s="227">
        <f t="shared" si="0"/>
        <v>204</v>
      </c>
      <c r="H47" s="224">
        <f t="shared" si="0"/>
        <v>37</v>
      </c>
      <c r="I47" s="228">
        <f t="shared" si="0"/>
        <v>0.8</v>
      </c>
      <c r="J47" s="224">
        <f t="shared" si="0"/>
        <v>8760</v>
      </c>
      <c r="K47" s="228">
        <f t="shared" si="0"/>
        <v>3.5999999999999997E-2</v>
      </c>
      <c r="L47" s="224">
        <f>I13</f>
        <v>6</v>
      </c>
      <c r="M47" s="125">
        <f>IF(G47=0,"",I47*$D$60*(((G47+273)^4-(H47+273)^4)/(G47-H47)))</f>
        <v>11.553759390803528</v>
      </c>
      <c r="N47" s="159">
        <f>D47^3*ABS(G47-H47)</f>
        <v>34.124190322999993</v>
      </c>
      <c r="O47" s="126">
        <f>IF(G47=0,"",1.25*(ABS(G47-H47)/D47)^0.25)</f>
        <v>5.1293260600930726</v>
      </c>
      <c r="P47" s="126">
        <f>1.21*(ABS(G47-H47))^0.33</f>
        <v>6.550610934276456</v>
      </c>
      <c r="Q47" s="126">
        <f>IF(N47&lt;10,O47+M47,P47+M47)</f>
        <v>18.104370325079984</v>
      </c>
      <c r="R47" s="160">
        <f>1/(D59*Q47*D47)</f>
        <v>2.9850416310159385E-2</v>
      </c>
      <c r="S47" s="127">
        <f>ABS(G47-H47)/(F54+R47)</f>
        <v>42.953801493555119</v>
      </c>
      <c r="T47" s="230">
        <f>IF(G47=0,"",L47*S47*J47*E47/1000)</f>
        <v>1128.8259032506287</v>
      </c>
      <c r="U47" s="231">
        <f>IF(G47=0,"",T47*K47)</f>
        <v>40.637732517022627</v>
      </c>
      <c r="V47" s="415">
        <f>T45-T47</f>
        <v>23144.301873648899</v>
      </c>
      <c r="W47" s="415">
        <f>U45-U47</f>
        <v>833.19486745136032</v>
      </c>
      <c r="X47" s="116"/>
      <c r="Y47" s="117"/>
      <c r="Z47" s="117"/>
      <c r="AA47" s="117"/>
      <c r="AB47" s="16"/>
      <c r="AC47" s="16"/>
      <c r="AD47" s="16"/>
    </row>
    <row r="48" spans="1:30" s="16" customFormat="1" ht="19.5" thickBot="1">
      <c r="A48" s="56"/>
      <c r="B48" s="56"/>
      <c r="C48" s="56"/>
      <c r="D48" s="56"/>
      <c r="E48" s="57" t="s">
        <v>288</v>
      </c>
      <c r="F48" s="57" t="s">
        <v>289</v>
      </c>
      <c r="G48" s="57"/>
      <c r="H48" s="57"/>
      <c r="I48" s="57"/>
      <c r="J48" s="58"/>
      <c r="K48" s="59"/>
      <c r="L48" s="58"/>
      <c r="M48" s="60"/>
      <c r="N48" s="129"/>
      <c r="O48" s="129"/>
      <c r="P48" s="891"/>
      <c r="Q48" s="891"/>
      <c r="R48" s="36"/>
      <c r="S48" s="36"/>
      <c r="T48" s="36"/>
    </row>
    <row r="49" spans="1:22" s="16" customFormat="1" ht="19.5" thickBot="1">
      <c r="A49" s="62"/>
      <c r="B49" s="56"/>
      <c r="C49" s="894" t="s">
        <v>51</v>
      </c>
      <c r="D49" s="895"/>
      <c r="E49" s="545">
        <f>(G45+(H45+35))/2</f>
        <v>138</v>
      </c>
      <c r="F49" s="545">
        <f>(G45+(H45+20))/2</f>
        <v>130.5</v>
      </c>
      <c r="G49" s="57"/>
      <c r="H49" s="57"/>
      <c r="I49" s="57"/>
      <c r="J49" s="58"/>
      <c r="K49" s="59"/>
      <c r="L49" s="75"/>
      <c r="M49" s="75"/>
      <c r="N49" s="75"/>
      <c r="O49" s="75"/>
      <c r="P49" s="288"/>
      <c r="Q49" s="288"/>
      <c r="R49" s="36"/>
      <c r="S49" s="36"/>
      <c r="T49" s="36"/>
    </row>
    <row r="50" spans="1:22" s="16" customFormat="1" ht="16.149999999999999" customHeight="1" thickBot="1">
      <c r="A50" s="56"/>
      <c r="B50" s="56"/>
      <c r="C50" s="871" t="s">
        <v>360</v>
      </c>
      <c r="D50" s="872"/>
      <c r="E50" s="274">
        <f>C63+C64*E49+C65*E49^2+C66*E49^3</f>
        <v>5.3292566184800001E-2</v>
      </c>
      <c r="F50" s="274">
        <f>C63+C64*F49+C65*F49^2+C66*F49^3</f>
        <v>5.1972520379112493E-2</v>
      </c>
      <c r="G50" s="57"/>
      <c r="H50" s="57"/>
      <c r="I50" s="57"/>
      <c r="J50" s="58"/>
      <c r="K50" s="59"/>
      <c r="L50" s="58"/>
      <c r="M50" s="60"/>
      <c r="N50" s="129"/>
      <c r="O50" s="129"/>
      <c r="P50" s="123"/>
      <c r="Q50" s="233"/>
      <c r="R50" s="36"/>
      <c r="S50" s="36"/>
      <c r="T50" s="36"/>
      <c r="V50" s="16" t="s">
        <v>169</v>
      </c>
    </row>
    <row r="51" spans="1:22" s="16" customFormat="1" ht="16.899999999999999" customHeight="1" thickBot="1">
      <c r="A51" s="56"/>
      <c r="B51" s="56"/>
      <c r="C51" s="873" t="s">
        <v>359</v>
      </c>
      <c r="D51" s="874"/>
      <c r="E51" s="273">
        <f>E50*C62</f>
        <v>7.9938849277200005E-2</v>
      </c>
      <c r="F51" s="273">
        <f>F50*C62</f>
        <v>7.7958780568668742E-2</v>
      </c>
      <c r="G51" s="57"/>
      <c r="H51" s="57"/>
      <c r="I51" s="57"/>
      <c r="J51" s="58"/>
      <c r="K51" s="59"/>
      <c r="L51" s="58"/>
      <c r="M51" s="60"/>
      <c r="N51" s="129"/>
      <c r="O51" s="129"/>
      <c r="P51" s="123"/>
      <c r="Q51" s="233"/>
      <c r="R51" s="36"/>
      <c r="S51" s="36"/>
      <c r="T51" s="36"/>
    </row>
    <row r="52" spans="1:22" s="16" customFormat="1" ht="15.75" thickBot="1">
      <c r="A52" s="56"/>
      <c r="B52" s="56"/>
      <c r="C52" s="822" t="s">
        <v>361</v>
      </c>
      <c r="D52" s="823"/>
      <c r="E52" s="142">
        <f>IF((G45-H45)&lt;F63,G63/1000,IF((G45-H45)&lt;F64,G64/1000,IF((G45-H45)&lt;F65,(G65/1000),G66/1000)))</f>
        <v>0.05</v>
      </c>
      <c r="F52" s="414">
        <f>IF((G45-H45)&lt;F63,H63/1000,IF((G45-H45)&lt;F64,H64/1000,IF((G45-H45)&lt;F65,(H65/1000),H66/1000)))</f>
        <v>0.25</v>
      </c>
      <c r="G52" s="57"/>
      <c r="H52" s="57"/>
      <c r="I52" s="57"/>
      <c r="J52" s="58"/>
      <c r="K52" s="59"/>
      <c r="L52" s="58"/>
      <c r="M52" s="60"/>
      <c r="N52" s="123"/>
      <c r="O52" s="123"/>
      <c r="P52" s="129"/>
      <c r="Q52" s="129"/>
      <c r="R52" s="36"/>
      <c r="S52" s="36"/>
      <c r="T52" s="36"/>
      <c r="U52" s="145"/>
      <c r="V52" s="145"/>
    </row>
    <row r="53" spans="1:22" s="16" customFormat="1" ht="15.75" thickBot="1">
      <c r="A53" s="56"/>
      <c r="B53" s="56"/>
      <c r="C53" s="875" t="s">
        <v>364</v>
      </c>
      <c r="D53" s="876" t="s">
        <v>160</v>
      </c>
      <c r="E53" s="142">
        <f>D45+2*E52</f>
        <v>0.189</v>
      </c>
      <c r="F53" s="414">
        <f>D45+2*F52</f>
        <v>0.58899999999999997</v>
      </c>
      <c r="G53" s="57"/>
      <c r="H53" s="57"/>
      <c r="I53" s="57"/>
      <c r="J53" s="58"/>
      <c r="K53" s="59"/>
      <c r="L53" s="58"/>
      <c r="M53" s="60"/>
      <c r="N53" s="123"/>
      <c r="O53" s="123"/>
      <c r="P53" s="129"/>
      <c r="Q53" s="129"/>
      <c r="R53" s="36"/>
      <c r="S53" s="36"/>
      <c r="T53" s="36"/>
    </row>
    <row r="54" spans="1:22" s="16" customFormat="1" ht="15.75" thickBot="1">
      <c r="A54" s="56"/>
      <c r="B54" s="56"/>
      <c r="C54" s="875" t="s">
        <v>161</v>
      </c>
      <c r="D54" s="876"/>
      <c r="E54" s="146">
        <f>LN(E53/D45)/(2*D59*E51)</f>
        <v>1.4994086441775294</v>
      </c>
      <c r="F54" s="146">
        <f>LN(F53/D45)/(2*D59*F51)</f>
        <v>3.8580476088519915</v>
      </c>
      <c r="G54" s="57"/>
      <c r="H54" s="57"/>
      <c r="I54" s="57"/>
      <c r="J54" s="58"/>
      <c r="K54" s="59"/>
      <c r="L54" s="58"/>
      <c r="M54" s="60"/>
      <c r="N54" s="123"/>
      <c r="O54" s="877" t="str">
        <f>IF(E55&gt;S46,"Insulation recommended","System_ok")</f>
        <v>Insulation recommended</v>
      </c>
      <c r="P54" s="878"/>
      <c r="Q54" s="878"/>
      <c r="R54" s="878"/>
      <c r="S54" s="878"/>
      <c r="T54" s="879"/>
    </row>
    <row r="55" spans="1:22" s="16" customFormat="1" ht="15.75" thickBot="1">
      <c r="A55" s="56"/>
      <c r="B55" s="56"/>
      <c r="C55" s="875" t="s">
        <v>138</v>
      </c>
      <c r="D55" s="876"/>
      <c r="E55" s="151">
        <f>S45-(10000*D70*E56/J45/K45)</f>
        <v>829.49458816208255</v>
      </c>
      <c r="F55" s="151"/>
      <c r="G55" s="17" t="s">
        <v>171</v>
      </c>
      <c r="H55" s="57"/>
      <c r="I55" s="57"/>
      <c r="J55" s="58"/>
      <c r="K55" s="59"/>
      <c r="L55" s="58"/>
      <c r="M55" s="60"/>
      <c r="N55" s="123"/>
      <c r="O55" s="880"/>
      <c r="P55" s="881"/>
      <c r="Q55" s="881"/>
      <c r="R55" s="881"/>
      <c r="S55" s="881"/>
      <c r="T55" s="882"/>
    </row>
    <row r="56" spans="1:22" s="16" customFormat="1" ht="15.75" thickBot="1">
      <c r="A56" s="56"/>
      <c r="B56" s="56"/>
      <c r="C56" s="886" t="s">
        <v>363</v>
      </c>
      <c r="D56" s="887"/>
      <c r="E56" s="146">
        <f>D59*(E53)</f>
        <v>0.59376240000000002</v>
      </c>
      <c r="F56" s="146"/>
      <c r="G56" s="57"/>
      <c r="H56" s="57"/>
      <c r="I56" s="57"/>
      <c r="J56" s="58"/>
      <c r="K56" s="59"/>
      <c r="L56" s="58"/>
      <c r="M56" s="60"/>
      <c r="N56" s="123"/>
      <c r="O56" s="883"/>
      <c r="P56" s="884"/>
      <c r="Q56" s="884"/>
      <c r="R56" s="884"/>
      <c r="S56" s="884"/>
      <c r="T56" s="885"/>
    </row>
    <row r="57" spans="1:22" s="16" customFormat="1">
      <c r="A57" s="56"/>
      <c r="B57" s="56"/>
      <c r="C57" s="56"/>
      <c r="D57" s="144"/>
      <c r="E57" s="124"/>
      <c r="F57" s="58"/>
      <c r="G57" s="57"/>
      <c r="H57" s="57"/>
      <c r="I57" s="57"/>
      <c r="J57" s="58"/>
      <c r="K57" s="59"/>
      <c r="L57" s="58"/>
      <c r="M57" s="60"/>
      <c r="N57" s="123"/>
      <c r="O57" s="123"/>
      <c r="P57" s="129"/>
      <c r="Q57" s="129"/>
      <c r="R57" s="36"/>
      <c r="S57" s="36"/>
      <c r="T57" s="36"/>
    </row>
    <row r="58" spans="1:22" s="16" customFormat="1" ht="15.75" thickBot="1">
      <c r="A58" s="904" t="s">
        <v>109</v>
      </c>
      <c r="B58" s="904"/>
      <c r="C58" s="904"/>
      <c r="D58" s="904"/>
      <c r="E58" s="904"/>
      <c r="F58" s="904"/>
      <c r="G58" s="904"/>
      <c r="H58" s="904"/>
      <c r="I58" s="904"/>
      <c r="J58" s="904"/>
      <c r="K58" s="904"/>
      <c r="L58" s="904"/>
      <c r="M58" s="904"/>
      <c r="N58" s="904"/>
      <c r="O58" s="904"/>
      <c r="P58" s="904"/>
      <c r="Q58" s="904"/>
      <c r="R58" s="904"/>
      <c r="S58" s="904"/>
      <c r="T58" s="904"/>
      <c r="U58" s="16" t="s">
        <v>82</v>
      </c>
    </row>
    <row r="59" spans="1:22" s="2" customFormat="1" ht="15.75" thickBot="1">
      <c r="A59" s="905" t="s">
        <v>162</v>
      </c>
      <c r="B59" s="906"/>
      <c r="C59" s="906"/>
      <c r="D59" s="232">
        <v>3.1415999999999999</v>
      </c>
      <c r="E59" s="57"/>
      <c r="F59" s="57"/>
      <c r="G59" s="57"/>
      <c r="H59" s="57"/>
      <c r="I59" s="132"/>
      <c r="J59" s="133"/>
      <c r="K59" s="134"/>
      <c r="L59" s="133"/>
      <c r="M59" s="135"/>
      <c r="N59" s="150"/>
      <c r="O59" s="150"/>
      <c r="P59" s="137"/>
      <c r="Q59" s="137"/>
      <c r="R59" s="138"/>
      <c r="S59" s="138"/>
      <c r="T59" s="138"/>
    </row>
    <row r="60" spans="1:22" s="2" customFormat="1" ht="15.75" thickBot="1">
      <c r="A60" s="907" t="s">
        <v>80</v>
      </c>
      <c r="B60" s="906"/>
      <c r="C60" s="906"/>
      <c r="D60" s="165">
        <v>5.6703669999999997E-8</v>
      </c>
      <c r="E60" s="57"/>
      <c r="F60" s="57"/>
      <c r="G60" s="57"/>
      <c r="H60" s="57"/>
      <c r="I60" s="132" t="s">
        <v>132</v>
      </c>
      <c r="J60" s="133"/>
      <c r="K60" s="134"/>
      <c r="L60" s="133"/>
      <c r="M60" s="135"/>
      <c r="N60" s="150"/>
      <c r="O60" s="150"/>
      <c r="P60" s="137"/>
      <c r="Q60" s="137"/>
      <c r="R60" s="138"/>
      <c r="S60" s="138"/>
      <c r="T60" s="138"/>
    </row>
    <row r="61" spans="1:22" s="2" customFormat="1" ht="15.75" thickBot="1">
      <c r="A61" s="161"/>
      <c r="B61" s="908" t="s">
        <v>110</v>
      </c>
      <c r="C61" s="909"/>
      <c r="D61" s="161"/>
      <c r="E61" s="910" t="s">
        <v>112</v>
      </c>
      <c r="F61" s="911"/>
      <c r="G61" s="912"/>
      <c r="H61" s="57"/>
      <c r="I61" s="132"/>
      <c r="J61" s="133"/>
      <c r="K61" s="134"/>
      <c r="L61" s="133"/>
      <c r="M61" s="135"/>
      <c r="N61" s="150"/>
      <c r="O61" s="150"/>
      <c r="P61" s="137"/>
      <c r="Q61" s="137"/>
      <c r="R61" s="138"/>
      <c r="S61" s="138"/>
      <c r="T61" s="138"/>
    </row>
    <row r="62" spans="1:22" s="2" customFormat="1" ht="15.75" thickBot="1">
      <c r="A62" s="162"/>
      <c r="B62" s="163" t="s">
        <v>53</v>
      </c>
      <c r="C62" s="229">
        <v>1.5</v>
      </c>
      <c r="D62" s="57"/>
      <c r="E62" s="445"/>
      <c r="F62" s="446" t="s">
        <v>65</v>
      </c>
      <c r="G62" s="447" t="s">
        <v>286</v>
      </c>
      <c r="H62" s="447" t="s">
        <v>287</v>
      </c>
      <c r="I62" s="133"/>
      <c r="J62" s="134"/>
      <c r="K62" s="133"/>
      <c r="L62" s="135"/>
      <c r="M62" s="150"/>
      <c r="N62" s="150"/>
      <c r="O62" s="137"/>
      <c r="P62" s="137"/>
      <c r="Q62" s="138"/>
      <c r="R62" s="138"/>
      <c r="S62" s="138"/>
      <c r="T62" s="139"/>
    </row>
    <row r="63" spans="1:22" s="2" customFormat="1">
      <c r="A63" s="162"/>
      <c r="B63" s="164" t="s">
        <v>47</v>
      </c>
      <c r="C63" s="165">
        <f>0.0338</f>
        <v>3.3799999999999997E-2</v>
      </c>
      <c r="D63" s="57"/>
      <c r="E63" s="448" t="s">
        <v>81</v>
      </c>
      <c r="F63" s="449">
        <v>80</v>
      </c>
      <c r="G63" s="450">
        <v>20</v>
      </c>
      <c r="H63" s="450">
        <v>100</v>
      </c>
      <c r="I63" s="133"/>
      <c r="J63" s="134"/>
      <c r="K63" s="133"/>
      <c r="L63" s="135"/>
      <c r="M63" s="150"/>
      <c r="N63" s="150"/>
      <c r="O63" s="137"/>
      <c r="P63" s="137"/>
      <c r="Q63" s="138"/>
      <c r="R63" s="138"/>
      <c r="S63" s="138"/>
      <c r="T63" s="139"/>
    </row>
    <row r="64" spans="1:22" s="2" customFormat="1">
      <c r="A64" s="162"/>
      <c r="B64" s="164" t="s">
        <v>48</v>
      </c>
      <c r="C64" s="165">
        <v>1.1730000000000001E-4</v>
      </c>
      <c r="D64" s="57"/>
      <c r="E64" s="448" t="s">
        <v>81</v>
      </c>
      <c r="F64" s="449">
        <v>150</v>
      </c>
      <c r="G64" s="450">
        <v>30</v>
      </c>
      <c r="H64" s="450">
        <v>180</v>
      </c>
      <c r="I64" s="133"/>
      <c r="J64" s="134"/>
      <c r="K64" s="133"/>
      <c r="L64" s="135"/>
      <c r="M64" s="150"/>
      <c r="N64" s="150"/>
      <c r="O64" s="137"/>
      <c r="P64" s="137"/>
      <c r="Q64" s="138"/>
      <c r="R64" s="138"/>
      <c r="S64" s="138"/>
      <c r="T64" s="139"/>
    </row>
    <row r="65" spans="1:24" s="2" customFormat="1">
      <c r="A65" s="162"/>
      <c r="B65" s="164" t="s">
        <v>49</v>
      </c>
      <c r="C65" s="165">
        <v>7.5450000000000004E-8</v>
      </c>
      <c r="D65" s="57"/>
      <c r="E65" s="448" t="s">
        <v>81</v>
      </c>
      <c r="F65" s="449">
        <v>250</v>
      </c>
      <c r="G65" s="450">
        <v>50</v>
      </c>
      <c r="H65" s="450">
        <v>250</v>
      </c>
      <c r="I65" s="133"/>
      <c r="J65" s="134"/>
      <c r="K65" s="133"/>
      <c r="L65" s="135"/>
      <c r="M65" s="150"/>
      <c r="N65" s="150"/>
      <c r="O65" s="137"/>
      <c r="P65" s="137"/>
      <c r="Q65" s="138"/>
      <c r="R65" s="138"/>
      <c r="S65" s="138"/>
      <c r="T65" s="139"/>
    </row>
    <row r="66" spans="1:24" customFormat="1" ht="15.75" thickBot="1">
      <c r="A66" s="56"/>
      <c r="B66" s="166" t="s">
        <v>50</v>
      </c>
      <c r="C66" s="167">
        <v>7.109E-10</v>
      </c>
      <c r="D66" s="57"/>
      <c r="E66" s="448" t="s">
        <v>81</v>
      </c>
      <c r="F66" s="449"/>
      <c r="G66" s="450">
        <v>80</v>
      </c>
      <c r="H66" s="450">
        <v>300</v>
      </c>
      <c r="I66" s="135"/>
      <c r="J66" s="139"/>
      <c r="K66" s="139"/>
      <c r="L66" s="137"/>
      <c r="M66" s="137"/>
      <c r="N66" s="139"/>
      <c r="O66" s="137"/>
      <c r="P66" s="140"/>
      <c r="Q66" s="138"/>
      <c r="R66" s="138"/>
      <c r="S66" s="138"/>
      <c r="T66" s="139"/>
    </row>
    <row r="67" spans="1:24" customFormat="1">
      <c r="A67" s="56"/>
      <c r="B67" s="89"/>
      <c r="C67" s="168"/>
      <c r="D67" s="57"/>
      <c r="E67" s="57"/>
      <c r="F67" s="58"/>
      <c r="G67" s="59"/>
      <c r="H67" s="58"/>
      <c r="I67" s="135"/>
      <c r="J67" s="139"/>
      <c r="K67" s="139"/>
      <c r="L67" s="137"/>
      <c r="M67" s="137"/>
      <c r="N67" s="139"/>
      <c r="O67" s="826" t="s">
        <v>142</v>
      </c>
      <c r="P67" s="826"/>
      <c r="Q67" s="826"/>
      <c r="R67" s="826"/>
      <c r="S67" s="826"/>
      <c r="T67" s="826"/>
    </row>
    <row r="68" spans="1:24" customFormat="1" ht="15.75" thickBot="1">
      <c r="A68" s="56"/>
      <c r="B68" s="16"/>
      <c r="C68" s="129"/>
      <c r="D68" s="38"/>
      <c r="E68" s="16"/>
      <c r="F68" s="16"/>
      <c r="G68" s="16"/>
      <c r="H68" s="58"/>
      <c r="I68" s="135"/>
      <c r="J68" s="139"/>
      <c r="K68" s="139"/>
      <c r="L68" s="137"/>
      <c r="M68" s="137"/>
      <c r="N68" s="139"/>
      <c r="O68" s="847" t="s">
        <v>143</v>
      </c>
      <c r="P68" s="847"/>
      <c r="Q68" s="847"/>
      <c r="R68" s="234">
        <v>80</v>
      </c>
      <c r="S68" s="196" t="s">
        <v>62</v>
      </c>
      <c r="T68" s="197"/>
    </row>
    <row r="69" spans="1:24" customFormat="1" ht="15.75" thickBot="1">
      <c r="A69" s="169"/>
      <c r="B69" s="170" t="s">
        <v>130</v>
      </c>
      <c r="C69" s="155"/>
      <c r="D69" s="221">
        <v>1.6</v>
      </c>
      <c r="E69" s="16"/>
      <c r="F69" s="16"/>
      <c r="G69" s="16"/>
      <c r="H69" s="58"/>
      <c r="I69" s="135"/>
      <c r="J69" s="139"/>
      <c r="K69" s="139"/>
      <c r="L69" s="137"/>
      <c r="M69" s="137"/>
      <c r="N69" s="139"/>
      <c r="O69" s="847" t="s">
        <v>144</v>
      </c>
      <c r="P69" s="847"/>
      <c r="Q69" s="847"/>
      <c r="R69" s="234">
        <v>250</v>
      </c>
      <c r="S69" s="196" t="s">
        <v>62</v>
      </c>
      <c r="T69" s="197"/>
    </row>
    <row r="70" spans="1:24" customFormat="1" ht="15.75" thickBot="1">
      <c r="A70" s="913" t="s">
        <v>148</v>
      </c>
      <c r="B70" s="914"/>
      <c r="C70" s="915"/>
      <c r="D70" s="220">
        <v>5</v>
      </c>
      <c r="E70" s="171"/>
      <c r="F70" s="58"/>
      <c r="G70" s="59"/>
      <c r="H70" s="58"/>
      <c r="I70" s="135"/>
      <c r="J70" s="139"/>
      <c r="K70" s="139"/>
      <c r="L70" s="137"/>
      <c r="M70" s="137"/>
      <c r="N70" s="139"/>
      <c r="O70" s="847" t="s">
        <v>64</v>
      </c>
      <c r="P70" s="847"/>
      <c r="Q70" s="847"/>
      <c r="R70" s="234">
        <v>5</v>
      </c>
      <c r="S70" s="196" t="s">
        <v>63</v>
      </c>
      <c r="T70" s="197"/>
      <c r="U70" t="s">
        <v>114</v>
      </c>
    </row>
    <row r="71" spans="1:24" customFormat="1" ht="15.75" thickBot="1">
      <c r="A71" s="913" t="s">
        <v>86</v>
      </c>
      <c r="B71" s="914"/>
      <c r="C71" s="915"/>
      <c r="D71" s="219">
        <v>55</v>
      </c>
      <c r="E71" s="171" t="s">
        <v>22</v>
      </c>
      <c r="F71" s="58"/>
      <c r="G71" s="59"/>
      <c r="H71" s="58"/>
      <c r="I71" s="135"/>
      <c r="J71" s="139"/>
      <c r="K71" s="139"/>
      <c r="L71" s="137"/>
      <c r="M71" s="137"/>
      <c r="N71" s="139"/>
      <c r="O71" s="847" t="s">
        <v>146</v>
      </c>
      <c r="P71" s="847"/>
      <c r="Q71" s="847"/>
      <c r="R71" s="300">
        <f>0.1*R68/R70</f>
        <v>1.6</v>
      </c>
      <c r="S71" s="196"/>
      <c r="T71" s="197"/>
      <c r="U71" t="s">
        <v>170</v>
      </c>
    </row>
    <row r="72" spans="1:24" customFormat="1">
      <c r="A72" s="66"/>
      <c r="B72" s="148"/>
      <c r="C72" s="149"/>
      <c r="D72" s="132"/>
      <c r="E72" s="132"/>
      <c r="F72" s="133"/>
      <c r="G72" s="134"/>
      <c r="H72" s="133"/>
      <c r="I72" s="135"/>
      <c r="J72" s="139"/>
      <c r="K72" s="139"/>
      <c r="L72" s="137"/>
      <c r="M72" s="137"/>
      <c r="N72" s="139"/>
      <c r="O72" s="847" t="s">
        <v>147</v>
      </c>
      <c r="P72" s="847"/>
      <c r="Q72" s="847"/>
      <c r="R72" s="236">
        <f>0.1*R69/R70</f>
        <v>5</v>
      </c>
      <c r="S72" s="198"/>
      <c r="T72" s="197"/>
    </row>
    <row r="74" spans="1:24">
      <c r="A74" s="277" t="s">
        <v>158</v>
      </c>
      <c r="B74" s="277" t="s">
        <v>44</v>
      </c>
    </row>
    <row r="75" spans="1:24">
      <c r="A75" s="278">
        <v>10</v>
      </c>
      <c r="B75" s="279">
        <v>1.7999999999999999E-2</v>
      </c>
      <c r="S75" s="16"/>
      <c r="X75" s="17"/>
    </row>
    <row r="76" spans="1:24">
      <c r="A76" s="278">
        <v>15</v>
      </c>
      <c r="B76" s="279">
        <v>2.1999999999999999E-2</v>
      </c>
      <c r="S76" s="16"/>
      <c r="X76" s="17"/>
    </row>
    <row r="77" spans="1:24">
      <c r="A77" s="278">
        <v>20</v>
      </c>
      <c r="B77" s="279">
        <v>2.7E-2</v>
      </c>
      <c r="S77" s="16"/>
      <c r="X77" s="17"/>
    </row>
    <row r="78" spans="1:24">
      <c r="A78" s="278">
        <v>25</v>
      </c>
      <c r="B78" s="279">
        <v>3.4000000000000002E-2</v>
      </c>
      <c r="S78" s="16"/>
      <c r="X78" s="17"/>
    </row>
    <row r="79" spans="1:24">
      <c r="A79" s="278">
        <v>32</v>
      </c>
      <c r="B79" s="279">
        <v>4.2999999999999997E-2</v>
      </c>
      <c r="S79" s="16"/>
      <c r="X79" s="17"/>
    </row>
    <row r="80" spans="1:24">
      <c r="A80" s="278">
        <v>40</v>
      </c>
      <c r="B80" s="279">
        <v>4.9000000000000002E-2</v>
      </c>
      <c r="S80" s="16"/>
      <c r="X80" s="17"/>
    </row>
    <row r="81" spans="1:24">
      <c r="A81" s="278">
        <v>50</v>
      </c>
      <c r="B81" s="279">
        <v>6.0999999999999999E-2</v>
      </c>
      <c r="S81" s="16"/>
      <c r="X81" s="17"/>
    </row>
    <row r="82" spans="1:24">
      <c r="A82" s="278">
        <v>60</v>
      </c>
      <c r="B82" s="279">
        <v>7.1999999999999995E-2</v>
      </c>
      <c r="S82" s="16"/>
      <c r="X82" s="17"/>
    </row>
    <row r="83" spans="1:24">
      <c r="A83" s="278">
        <v>65</v>
      </c>
      <c r="B83" s="279">
        <v>7.6999999999999999E-2</v>
      </c>
      <c r="S83" s="16"/>
      <c r="X83" s="17"/>
    </row>
    <row r="84" spans="1:24">
      <c r="A84" s="278">
        <v>80</v>
      </c>
      <c r="B84" s="279">
        <v>8.8999999999999996E-2</v>
      </c>
      <c r="S84" s="16"/>
      <c r="X84" s="17"/>
    </row>
    <row r="85" spans="1:24">
      <c r="A85" s="278">
        <v>100</v>
      </c>
      <c r="B85" s="279">
        <v>0.115</v>
      </c>
      <c r="S85" s="16"/>
      <c r="X85" s="17"/>
    </row>
    <row r="86" spans="1:24">
      <c r="A86" s="278">
        <v>125</v>
      </c>
      <c r="B86" s="279">
        <v>0.14099999999999999</v>
      </c>
      <c r="S86" s="16"/>
      <c r="X86" s="17"/>
    </row>
    <row r="87" spans="1:24">
      <c r="A87" s="278">
        <v>150</v>
      </c>
      <c r="B87" s="279">
        <v>0.16900000000000001</v>
      </c>
      <c r="S87" s="16"/>
      <c r="X87" s="17"/>
    </row>
    <row r="88" spans="1:24">
      <c r="A88" s="278">
        <v>200</v>
      </c>
      <c r="B88" s="279">
        <v>0.22</v>
      </c>
      <c r="S88" s="16"/>
      <c r="X88" s="17"/>
    </row>
    <row r="89" spans="1:24">
      <c r="A89" s="278">
        <v>250</v>
      </c>
      <c r="B89" s="279">
        <v>0.27300000000000002</v>
      </c>
      <c r="S89" s="16"/>
      <c r="X89" s="17"/>
    </row>
    <row r="90" spans="1:24">
      <c r="A90" s="278">
        <v>300</v>
      </c>
      <c r="B90" s="279">
        <v>0.32400000000000001</v>
      </c>
      <c r="S90" s="16"/>
      <c r="X90" s="17"/>
    </row>
    <row r="91" spans="1:24">
      <c r="A91" s="278">
        <v>350</v>
      </c>
      <c r="B91" s="279">
        <v>0.35599999999999998</v>
      </c>
      <c r="S91" s="16"/>
      <c r="X91" s="17"/>
    </row>
    <row r="92" spans="1:24">
      <c r="A92" s="278">
        <v>400</v>
      </c>
      <c r="B92" s="279">
        <v>0.40699999999999997</v>
      </c>
      <c r="S92" s="16"/>
      <c r="X92" s="17"/>
    </row>
    <row r="93" spans="1:24">
      <c r="A93" s="278">
        <v>450</v>
      </c>
      <c r="B93" s="279">
        <v>0.45800000000000002</v>
      </c>
      <c r="S93" s="16"/>
      <c r="X93" s="17"/>
    </row>
    <row r="94" spans="1:24">
      <c r="A94" s="278">
        <v>500</v>
      </c>
      <c r="B94" s="279">
        <v>0.50800000000000001</v>
      </c>
      <c r="S94" s="16"/>
      <c r="X94" s="17"/>
    </row>
    <row r="95" spans="1:24">
      <c r="A95" s="278">
        <v>600</v>
      </c>
      <c r="B95" s="279">
        <v>0.61</v>
      </c>
      <c r="S95" s="16"/>
      <c r="X95" s="17"/>
    </row>
    <row r="96" spans="1:24">
      <c r="A96" s="278">
        <v>700</v>
      </c>
      <c r="B96" s="279">
        <v>0.71199999999999997</v>
      </c>
      <c r="S96" s="16"/>
      <c r="X96" s="17"/>
    </row>
    <row r="97" spans="1:24">
      <c r="A97" s="278">
        <v>800</v>
      </c>
      <c r="B97" s="279">
        <v>0.81299999999999994</v>
      </c>
      <c r="S97" s="16"/>
      <c r="X97" s="17"/>
    </row>
    <row r="98" spans="1:24">
      <c r="A98" s="278">
        <v>900</v>
      </c>
      <c r="B98" s="279">
        <v>0.91500000000000004</v>
      </c>
      <c r="S98" s="16"/>
      <c r="X98" s="17"/>
    </row>
    <row r="99" spans="1:24">
      <c r="A99" s="278">
        <v>1000</v>
      </c>
      <c r="B99" s="279">
        <v>1.016</v>
      </c>
      <c r="S99" s="16"/>
      <c r="X99" s="17"/>
    </row>
    <row r="100" spans="1:24">
      <c r="A100" s="278">
        <v>1100</v>
      </c>
      <c r="B100" s="279">
        <v>1.1200000000000001</v>
      </c>
      <c r="S100" s="16"/>
      <c r="X100" s="17"/>
    </row>
    <row r="101" spans="1:24">
      <c r="A101" s="278">
        <v>1200</v>
      </c>
      <c r="B101" s="279">
        <v>1.22</v>
      </c>
      <c r="S101" s="16"/>
      <c r="X101" s="17"/>
    </row>
    <row r="102" spans="1:24">
      <c r="A102" s="278">
        <v>1400</v>
      </c>
      <c r="B102" s="279">
        <v>1.42</v>
      </c>
      <c r="S102" s="16"/>
      <c r="X102" s="17"/>
    </row>
    <row r="103" spans="1:24">
      <c r="A103" s="278">
        <v>1500</v>
      </c>
      <c r="B103" s="279">
        <v>1.52</v>
      </c>
      <c r="S103" s="16"/>
      <c r="X103" s="17"/>
    </row>
    <row r="104" spans="1:24">
      <c r="A104" s="278">
        <v>1600</v>
      </c>
      <c r="B104" s="279">
        <v>1.62</v>
      </c>
      <c r="S104" s="16"/>
      <c r="X104" s="17"/>
    </row>
    <row r="105" spans="1:24">
      <c r="A105" s="278">
        <v>1800</v>
      </c>
      <c r="B105" s="279">
        <v>1.82</v>
      </c>
      <c r="S105" s="16"/>
      <c r="X105" s="17"/>
    </row>
    <row r="106" spans="1:24">
      <c r="A106" s="278">
        <v>2000</v>
      </c>
      <c r="B106" s="279">
        <v>2.02</v>
      </c>
      <c r="S106" s="16"/>
      <c r="X106" s="17"/>
    </row>
    <row r="107" spans="1:24">
      <c r="A107" s="278">
        <v>2000</v>
      </c>
      <c r="B107" s="279">
        <v>2.02</v>
      </c>
      <c r="S107" s="16"/>
      <c r="X107" s="17"/>
    </row>
    <row r="108" spans="1:24">
      <c r="A108" s="278">
        <v>2200</v>
      </c>
      <c r="B108" s="279">
        <v>2.2200000000000002</v>
      </c>
      <c r="S108" s="16"/>
      <c r="X108" s="17"/>
    </row>
    <row r="109" spans="1:24">
      <c r="A109" s="278">
        <v>2400</v>
      </c>
      <c r="B109" s="279">
        <v>2.42</v>
      </c>
      <c r="S109" s="16"/>
      <c r="X109" s="17"/>
    </row>
    <row r="110" spans="1:24">
      <c r="A110" s="278">
        <v>2600</v>
      </c>
      <c r="B110" s="279">
        <v>2.62</v>
      </c>
      <c r="S110" s="16"/>
      <c r="X110" s="17"/>
    </row>
    <row r="111" spans="1:24">
      <c r="A111" s="278">
        <v>2800</v>
      </c>
      <c r="B111" s="279">
        <v>2.82</v>
      </c>
      <c r="S111" s="16"/>
      <c r="X111" s="17"/>
    </row>
    <row r="112" spans="1:24">
      <c r="A112" s="278">
        <v>3000</v>
      </c>
      <c r="B112" s="279">
        <v>3.02</v>
      </c>
      <c r="S112" s="16"/>
      <c r="X112" s="17"/>
    </row>
    <row r="113" spans="1:25">
      <c r="A113" s="278">
        <v>3200</v>
      </c>
      <c r="B113" s="279">
        <v>3.22</v>
      </c>
      <c r="S113" s="16"/>
      <c r="X113" s="17"/>
    </row>
    <row r="114" spans="1:25">
      <c r="A114" s="278">
        <v>3400</v>
      </c>
      <c r="B114" s="279">
        <v>3.42</v>
      </c>
      <c r="S114" s="16"/>
      <c r="X114" s="17"/>
    </row>
    <row r="117" spans="1:25" ht="68.25" thickBot="1">
      <c r="A117" s="802" t="s">
        <v>5</v>
      </c>
      <c r="B117" s="803"/>
      <c r="C117" s="494" t="s">
        <v>158</v>
      </c>
      <c r="D117" s="494" t="s">
        <v>102</v>
      </c>
      <c r="E117" s="494" t="s">
        <v>103</v>
      </c>
      <c r="F117" s="82"/>
      <c r="G117" s="82" t="s">
        <v>29</v>
      </c>
      <c r="H117" s="82" t="s">
        <v>30</v>
      </c>
      <c r="I117" s="84" t="s">
        <v>78</v>
      </c>
      <c r="J117" s="82" t="s">
        <v>59</v>
      </c>
      <c r="K117" s="82" t="s">
        <v>58</v>
      </c>
      <c r="L117" s="82" t="s">
        <v>369</v>
      </c>
      <c r="M117" s="83" t="s">
        <v>13</v>
      </c>
      <c r="N117" s="112" t="s">
        <v>106</v>
      </c>
      <c r="O117" s="83" t="s">
        <v>104</v>
      </c>
      <c r="P117" s="83" t="s">
        <v>105</v>
      </c>
      <c r="Q117" s="83" t="s">
        <v>26</v>
      </c>
      <c r="R117" s="113" t="s">
        <v>107</v>
      </c>
      <c r="S117" s="78" t="s">
        <v>365</v>
      </c>
      <c r="T117" s="80" t="s">
        <v>84</v>
      </c>
      <c r="U117" s="80" t="s">
        <v>85</v>
      </c>
      <c r="V117" s="888" t="s">
        <v>60</v>
      </c>
      <c r="W117" s="888"/>
      <c r="Y117" s="16"/>
    </row>
    <row r="118" spans="1:25" ht="19.5" thickBot="1">
      <c r="A118" s="889"/>
      <c r="B118" s="890"/>
      <c r="C118" s="490"/>
      <c r="D118" s="512" t="s">
        <v>368</v>
      </c>
      <c r="E118" s="509"/>
      <c r="F118" s="490"/>
      <c r="G118" s="224"/>
      <c r="H118" s="224"/>
      <c r="I118" s="228"/>
      <c r="J118" s="224"/>
      <c r="K118" s="228"/>
      <c r="L118" s="228"/>
      <c r="M118" s="510">
        <v>1</v>
      </c>
      <c r="N118" s="511">
        <v>32</v>
      </c>
      <c r="O118" s="510">
        <v>33</v>
      </c>
      <c r="P118" s="510">
        <v>34</v>
      </c>
      <c r="Q118" s="510">
        <f>IF(N118&lt;10,O118+M118,P118+M118)</f>
        <v>35</v>
      </c>
      <c r="R118" s="510">
        <v>42</v>
      </c>
      <c r="S118" s="510">
        <v>43</v>
      </c>
      <c r="T118" s="513">
        <v>47</v>
      </c>
      <c r="U118" s="513">
        <v>6</v>
      </c>
      <c r="V118" s="121" t="s">
        <v>61</v>
      </c>
      <c r="W118" s="121" t="s">
        <v>23</v>
      </c>
      <c r="Y118" s="16"/>
    </row>
    <row r="119" spans="1:25" ht="15.75" thickBot="1">
      <c r="A119" s="889" t="s">
        <v>290</v>
      </c>
      <c r="B119" s="890"/>
      <c r="C119" s="490"/>
      <c r="D119" s="512" t="s">
        <v>366</v>
      </c>
      <c r="E119" s="509"/>
      <c r="F119" s="490"/>
      <c r="G119" s="227"/>
      <c r="H119" s="224"/>
      <c r="I119" s="228"/>
      <c r="J119" s="224"/>
      <c r="K119" s="228"/>
      <c r="L119" s="228"/>
      <c r="M119" s="510">
        <v>1</v>
      </c>
      <c r="N119" s="511">
        <v>32</v>
      </c>
      <c r="O119" s="510">
        <v>33</v>
      </c>
      <c r="P119" s="510">
        <v>34</v>
      </c>
      <c r="Q119" s="510">
        <f>IF(N119&lt;10,O119+M119,P119+M119)</f>
        <v>35</v>
      </c>
      <c r="R119" s="510">
        <v>42</v>
      </c>
      <c r="S119" s="510">
        <v>45</v>
      </c>
      <c r="T119" s="230">
        <v>47</v>
      </c>
      <c r="U119" s="230">
        <v>6</v>
      </c>
      <c r="V119" s="507">
        <v>26</v>
      </c>
      <c r="W119" s="507">
        <v>28</v>
      </c>
      <c r="Y119" s="16"/>
    </row>
    <row r="120" spans="1:25">
      <c r="A120" s="889" t="s">
        <v>291</v>
      </c>
      <c r="B120" s="890"/>
      <c r="C120" s="490"/>
      <c r="D120" s="512" t="s">
        <v>367</v>
      </c>
      <c r="E120" s="509"/>
      <c r="F120" s="490"/>
      <c r="G120" s="227"/>
      <c r="H120" s="224"/>
      <c r="I120" s="228"/>
      <c r="J120" s="224"/>
      <c r="K120" s="228"/>
      <c r="L120" s="228"/>
      <c r="M120" s="510">
        <v>1</v>
      </c>
      <c r="N120" s="511">
        <v>32</v>
      </c>
      <c r="O120" s="510">
        <v>33</v>
      </c>
      <c r="P120" s="510">
        <v>34</v>
      </c>
      <c r="Q120" s="510">
        <f>IF(N120&lt;10,O120+M120,P120+M120)</f>
        <v>35</v>
      </c>
      <c r="R120" s="510">
        <v>42</v>
      </c>
      <c r="S120" s="510">
        <v>46</v>
      </c>
      <c r="T120" s="230">
        <v>47</v>
      </c>
      <c r="U120" s="230">
        <v>6</v>
      </c>
      <c r="V120" s="507">
        <v>27</v>
      </c>
      <c r="W120" s="507">
        <v>29</v>
      </c>
      <c r="Y120" s="16"/>
    </row>
    <row r="121" spans="1:25" ht="18.75">
      <c r="A121" s="56"/>
      <c r="B121" s="56"/>
      <c r="C121" s="56"/>
      <c r="D121" s="56"/>
      <c r="E121" s="57" t="s">
        <v>288</v>
      </c>
      <c r="F121" s="57" t="s">
        <v>289</v>
      </c>
      <c r="G121" s="57"/>
      <c r="H121" s="57"/>
      <c r="I121" s="57"/>
      <c r="J121" s="58"/>
      <c r="K121" s="59"/>
      <c r="L121" s="58"/>
      <c r="M121" s="60"/>
      <c r="N121" s="129"/>
      <c r="O121" s="129"/>
      <c r="P121" s="891"/>
      <c r="Q121" s="891"/>
      <c r="R121" s="487"/>
      <c r="S121" s="487"/>
      <c r="T121" s="487"/>
    </row>
    <row r="122" spans="1:25" ht="18.75">
      <c r="A122" s="62"/>
      <c r="B122" s="56"/>
      <c r="C122" s="871" t="s">
        <v>51</v>
      </c>
      <c r="D122" s="872"/>
      <c r="E122" s="505">
        <v>7</v>
      </c>
      <c r="F122" s="505">
        <v>8</v>
      </c>
      <c r="G122" s="57"/>
      <c r="H122" s="57"/>
      <c r="I122" s="57"/>
      <c r="J122" s="58"/>
      <c r="K122" s="59"/>
      <c r="L122" s="75"/>
      <c r="M122" s="75"/>
      <c r="N122" s="75"/>
      <c r="O122" s="75"/>
      <c r="P122" s="493"/>
      <c r="Q122" s="493"/>
      <c r="R122" s="487"/>
      <c r="S122" s="487"/>
      <c r="T122" s="487"/>
    </row>
    <row r="123" spans="1:25" ht="16.149999999999999" customHeight="1">
      <c r="A123" s="56"/>
      <c r="B123" s="56"/>
      <c r="C123" s="871" t="s">
        <v>360</v>
      </c>
      <c r="D123" s="872"/>
      <c r="E123" s="505">
        <v>9</v>
      </c>
      <c r="F123" s="505">
        <v>10</v>
      </c>
      <c r="G123" s="57"/>
      <c r="H123" s="57"/>
      <c r="I123" s="57"/>
      <c r="J123" s="58"/>
      <c r="K123" s="59"/>
      <c r="L123" s="58"/>
      <c r="M123" s="60"/>
      <c r="N123" s="129"/>
      <c r="O123" s="129"/>
      <c r="P123" s="123"/>
      <c r="Q123" s="233"/>
      <c r="R123" s="487"/>
      <c r="S123" s="487"/>
      <c r="T123" s="487"/>
      <c r="V123" s="16" t="s">
        <v>169</v>
      </c>
    </row>
    <row r="124" spans="1:25" ht="16.149999999999999" customHeight="1" thickBot="1">
      <c r="A124" s="56"/>
      <c r="B124" s="56"/>
      <c r="C124" s="873" t="s">
        <v>359</v>
      </c>
      <c r="D124" s="874"/>
      <c r="E124" s="505">
        <v>11</v>
      </c>
      <c r="F124" s="505">
        <v>12</v>
      </c>
      <c r="G124" s="57"/>
      <c r="H124" s="57"/>
      <c r="I124" s="57"/>
      <c r="J124" s="58"/>
      <c r="K124" s="59"/>
      <c r="L124" s="58"/>
      <c r="M124" s="60"/>
      <c r="N124" s="129"/>
      <c r="O124" s="129"/>
      <c r="P124" s="123"/>
      <c r="Q124" s="233"/>
      <c r="R124" s="487"/>
      <c r="S124" s="487"/>
      <c r="T124" s="487"/>
    </row>
    <row r="125" spans="1:25" ht="16.5" thickBot="1">
      <c r="A125" s="56"/>
      <c r="B125" s="56"/>
      <c r="C125" s="822" t="s">
        <v>361</v>
      </c>
      <c r="D125" s="823"/>
      <c r="E125" s="505">
        <v>13</v>
      </c>
      <c r="F125" s="505">
        <v>14</v>
      </c>
      <c r="G125" s="57"/>
      <c r="H125" s="57"/>
      <c r="I125" s="57"/>
      <c r="J125" s="58"/>
      <c r="K125" s="59"/>
      <c r="L125" s="58"/>
      <c r="M125" s="60"/>
      <c r="N125" s="123"/>
      <c r="O125" s="123"/>
      <c r="P125" s="129"/>
      <c r="Q125" s="129"/>
      <c r="R125" s="487"/>
      <c r="S125" s="487"/>
      <c r="T125" s="487"/>
      <c r="U125" s="145"/>
      <c r="V125" s="145"/>
    </row>
    <row r="126" spans="1:25" ht="16.5" thickBot="1">
      <c r="A126" s="56"/>
      <c r="B126" s="56"/>
      <c r="C126" s="875" t="s">
        <v>364</v>
      </c>
      <c r="D126" s="876" t="s">
        <v>160</v>
      </c>
      <c r="E126" s="505">
        <v>36</v>
      </c>
      <c r="F126" s="505">
        <v>37</v>
      </c>
      <c r="G126" s="57"/>
      <c r="H126" s="57"/>
      <c r="I126" s="57"/>
      <c r="J126" s="58"/>
      <c r="K126" s="59"/>
      <c r="L126" s="58"/>
      <c r="M126" s="60"/>
      <c r="N126" s="123"/>
      <c r="O126" s="123"/>
      <c r="P126" s="129"/>
      <c r="Q126" s="129"/>
      <c r="R126" s="487"/>
      <c r="S126" s="487"/>
      <c r="T126" s="487"/>
    </row>
    <row r="127" spans="1:25" ht="16.5" thickBot="1">
      <c r="A127" s="56"/>
      <c r="B127" s="56"/>
      <c r="C127" s="875" t="s">
        <v>161</v>
      </c>
      <c r="D127" s="876"/>
      <c r="E127" s="505">
        <v>38</v>
      </c>
      <c r="F127" s="505">
        <v>39</v>
      </c>
      <c r="G127" s="57"/>
      <c r="H127" s="57"/>
      <c r="I127" s="57"/>
      <c r="J127" s="58"/>
      <c r="K127" s="59"/>
      <c r="L127" s="58"/>
      <c r="M127" s="60"/>
      <c r="N127" s="123"/>
      <c r="O127" s="877">
        <v>30</v>
      </c>
      <c r="P127" s="878"/>
      <c r="Q127" s="878"/>
      <c r="R127" s="878"/>
      <c r="S127" s="878"/>
      <c r="T127" s="879"/>
    </row>
    <row r="128" spans="1:25" ht="16.5" thickBot="1">
      <c r="A128" s="56"/>
      <c r="B128" s="56"/>
      <c r="C128" s="875" t="s">
        <v>138</v>
      </c>
      <c r="D128" s="876"/>
      <c r="E128" s="505">
        <v>48</v>
      </c>
      <c r="F128" s="505"/>
      <c r="G128" s="17" t="s">
        <v>171</v>
      </c>
      <c r="H128" s="57"/>
      <c r="I128" s="57"/>
      <c r="J128" s="58"/>
      <c r="K128" s="59"/>
      <c r="L128" s="58"/>
      <c r="M128" s="60"/>
      <c r="N128" s="123"/>
      <c r="O128" s="880"/>
      <c r="P128" s="881"/>
      <c r="Q128" s="881"/>
      <c r="R128" s="881"/>
      <c r="S128" s="881"/>
      <c r="T128" s="882"/>
    </row>
    <row r="129" spans="1:20" ht="16.5" thickBot="1">
      <c r="A129" s="56"/>
      <c r="B129" s="56"/>
      <c r="C129" s="886" t="s">
        <v>363</v>
      </c>
      <c r="D129" s="887"/>
      <c r="E129" s="505">
        <v>40</v>
      </c>
      <c r="F129" s="505"/>
      <c r="G129" s="57"/>
      <c r="H129" s="57"/>
      <c r="I129" s="57"/>
      <c r="J129" s="58"/>
      <c r="K129" s="59"/>
      <c r="L129" s="58"/>
      <c r="M129" s="60"/>
      <c r="N129" s="123"/>
      <c r="O129" s="883"/>
      <c r="P129" s="884"/>
      <c r="Q129" s="884"/>
      <c r="R129" s="884"/>
      <c r="S129" s="884"/>
      <c r="T129" s="885"/>
    </row>
  </sheetData>
  <mergeCells count="79">
    <mergeCell ref="A71:C71"/>
    <mergeCell ref="O71:Q71"/>
    <mergeCell ref="O72:Q72"/>
    <mergeCell ref="B61:C61"/>
    <mergeCell ref="E61:G61"/>
    <mergeCell ref="O67:T67"/>
    <mergeCell ref="O68:Q68"/>
    <mergeCell ref="O69:Q69"/>
    <mergeCell ref="A70:C70"/>
    <mergeCell ref="O70:Q70"/>
    <mergeCell ref="P48:Q48"/>
    <mergeCell ref="A60:C60"/>
    <mergeCell ref="C49:D49"/>
    <mergeCell ref="C50:D50"/>
    <mergeCell ref="C51:D51"/>
    <mergeCell ref="C52:D52"/>
    <mergeCell ref="C53:D53"/>
    <mergeCell ref="C54:D54"/>
    <mergeCell ref="O54:T56"/>
    <mergeCell ref="C55:D55"/>
    <mergeCell ref="C56:D56"/>
    <mergeCell ref="A58:T58"/>
    <mergeCell ref="A59:C59"/>
    <mergeCell ref="V44:W44"/>
    <mergeCell ref="A45:B45"/>
    <mergeCell ref="A46:B46"/>
    <mergeCell ref="M25:P27"/>
    <mergeCell ref="C25:E26"/>
    <mergeCell ref="F25:G26"/>
    <mergeCell ref="I13:I14"/>
    <mergeCell ref="Q14:R15"/>
    <mergeCell ref="O16:P17"/>
    <mergeCell ref="Q16:R17"/>
    <mergeCell ref="C17:E18"/>
    <mergeCell ref="F17:G18"/>
    <mergeCell ref="M18:N21"/>
    <mergeCell ref="Q18:R19"/>
    <mergeCell ref="Q20:R21"/>
    <mergeCell ref="C21:E22"/>
    <mergeCell ref="F21:G22"/>
    <mergeCell ref="H21:H22"/>
    <mergeCell ref="U12:X16"/>
    <mergeCell ref="C5:E6"/>
    <mergeCell ref="K5:M6"/>
    <mergeCell ref="N5:O6"/>
    <mergeCell ref="K8:M9"/>
    <mergeCell ref="N8:O9"/>
    <mergeCell ref="G5:J6"/>
    <mergeCell ref="P8:P9"/>
    <mergeCell ref="C13:C14"/>
    <mergeCell ref="D13:E14"/>
    <mergeCell ref="F13:F14"/>
    <mergeCell ref="G13:H14"/>
    <mergeCell ref="K13:K14"/>
    <mergeCell ref="M14:N17"/>
    <mergeCell ref="O14:P15"/>
    <mergeCell ref="J13:J14"/>
    <mergeCell ref="A47:B47"/>
    <mergeCell ref="O18:O19"/>
    <mergeCell ref="P18:P19"/>
    <mergeCell ref="O20:O21"/>
    <mergeCell ref="P20:P21"/>
    <mergeCell ref="H25:H26"/>
    <mergeCell ref="A44:B44"/>
    <mergeCell ref="A117:B117"/>
    <mergeCell ref="V117:W117"/>
    <mergeCell ref="A118:B118"/>
    <mergeCell ref="A119:B119"/>
    <mergeCell ref="A120:B120"/>
    <mergeCell ref="P121:Q121"/>
    <mergeCell ref="C122:D122"/>
    <mergeCell ref="C123:D123"/>
    <mergeCell ref="C124:D124"/>
    <mergeCell ref="C125:D125"/>
    <mergeCell ref="C126:D126"/>
    <mergeCell ref="C127:D127"/>
    <mergeCell ref="O127:T129"/>
    <mergeCell ref="C128:D128"/>
    <mergeCell ref="C129:D129"/>
  </mergeCells>
  <conditionalFormatting sqref="F25:G26">
    <cfRule type="cellIs" dxfId="9" priority="1" operator="greaterThan">
      <formula>55</formula>
    </cfRule>
  </conditionalFormatting>
  <dataValidations count="1">
    <dataValidation type="list" allowBlank="1" showInputMessage="1" showErrorMessage="1" promptTitle="Select a value " sqref="F17">
      <formula1>emissivity</formula1>
    </dataValidation>
  </dataValidations>
  <pageMargins left="0.7" right="0.7" top="0.75" bottom="0.75" header="0.3" footer="0.3"/>
  <pageSetup paperSize="9" orientation="portrait" verticalDpi="300" r:id="rId1"/>
  <drawing r:id="rId2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8BA1A0C-D4D0-40B0-9F85-9ED9942F64AA}">
          <x14:formula1>
            <xm:f>'Default values '!$C$2:$C$10</xm:f>
          </x14:formula1>
          <xm:sqref>N5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>
  <dimension ref="A1:AD129"/>
  <sheetViews>
    <sheetView topLeftCell="A34" workbookViewId="0">
      <selection activeCell="M34" sqref="M34"/>
    </sheetView>
  </sheetViews>
  <sheetFormatPr baseColWidth="10" defaultColWidth="8.85546875" defaultRowHeight="15"/>
  <cols>
    <col min="1" max="2" width="5.28515625" style="17" customWidth="1"/>
    <col min="3" max="3" width="14.7109375" style="17" customWidth="1"/>
    <col min="4" max="4" width="8.7109375" style="17" customWidth="1"/>
    <col min="5" max="5" width="6.28515625" style="17" customWidth="1"/>
    <col min="6" max="6" width="7.7109375" style="17" customWidth="1"/>
    <col min="7" max="11" width="8.7109375" style="17" customWidth="1"/>
    <col min="12" max="12" width="7.85546875" style="17" customWidth="1"/>
    <col min="13" max="13" width="11.28515625" style="17" customWidth="1"/>
    <col min="14" max="14" width="8.7109375" style="17" customWidth="1"/>
    <col min="15" max="15" width="11" style="17" customWidth="1"/>
    <col min="16" max="16" width="13.85546875" style="17" customWidth="1"/>
    <col min="17" max="17" width="8.7109375" style="17" customWidth="1"/>
    <col min="18" max="18" width="5.7109375" style="17" customWidth="1"/>
    <col min="19" max="19" width="6.5703125" style="17" customWidth="1"/>
    <col min="20" max="24" width="8.85546875" style="16"/>
    <col min="25" max="16384" width="8.85546875" style="17"/>
  </cols>
  <sheetData>
    <row r="1" spans="1:24" ht="15" customHeight="1">
      <c r="A1" s="329"/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  <c r="R1" s="329"/>
      <c r="S1" s="329"/>
      <c r="U1" s="157"/>
    </row>
    <row r="2" spans="1:24" ht="15" customHeight="1">
      <c r="A2" s="329"/>
      <c r="B2" s="15"/>
      <c r="C2" s="15"/>
      <c r="D2" s="15"/>
      <c r="E2" s="15"/>
      <c r="F2" s="15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  <c r="R2" s="329"/>
      <c r="S2" s="329"/>
      <c r="U2" s="157"/>
    </row>
    <row r="3" spans="1:24" ht="4.9000000000000004" customHeight="1">
      <c r="A3" s="329"/>
      <c r="B3" s="21"/>
      <c r="C3" s="21"/>
      <c r="D3" s="21"/>
      <c r="E3" s="21"/>
      <c r="F3" s="21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329"/>
      <c r="U3" s="157"/>
    </row>
    <row r="4" spans="1:24" ht="5.45" customHeight="1">
      <c r="A4" s="329"/>
      <c r="B4" s="329"/>
      <c r="C4" s="329"/>
      <c r="D4" s="329"/>
      <c r="E4" s="329"/>
      <c r="F4" s="329"/>
      <c r="G4" s="276"/>
      <c r="H4" s="276"/>
      <c r="I4" s="276"/>
      <c r="J4" s="276"/>
      <c r="K4" s="329"/>
      <c r="L4" s="329"/>
      <c r="M4" s="329"/>
      <c r="N4" s="329"/>
      <c r="O4" s="329"/>
      <c r="P4" s="329"/>
      <c r="Q4" s="329"/>
      <c r="R4" s="329"/>
      <c r="S4" s="329"/>
      <c r="T4" s="24"/>
      <c r="U4" s="377"/>
    </row>
    <row r="5" spans="1:24" s="23" customFormat="1" ht="15" customHeight="1">
      <c r="A5" s="26"/>
      <c r="B5" s="28"/>
      <c r="C5" s="797" t="s">
        <v>15</v>
      </c>
      <c r="D5" s="797"/>
      <c r="E5" s="797"/>
      <c r="F5" s="32" t="s">
        <v>37</v>
      </c>
      <c r="G5" s="924" t="s">
        <v>41</v>
      </c>
      <c r="H5" s="924"/>
      <c r="I5" s="924"/>
      <c r="J5" s="924"/>
      <c r="K5" s="799" t="s">
        <v>14</v>
      </c>
      <c r="L5" s="799"/>
      <c r="M5" s="799"/>
      <c r="N5" s="920" t="s">
        <v>33</v>
      </c>
      <c r="O5" s="920"/>
      <c r="P5" s="32">
        <f>VLOOKUP(N5,'[1]Default values '!C2:D10,2,TRUE)</f>
        <v>8760</v>
      </c>
      <c r="Q5" s="28"/>
      <c r="R5" s="28"/>
      <c r="S5" s="28"/>
      <c r="T5" s="25"/>
      <c r="U5" s="22"/>
      <c r="V5" s="22"/>
      <c r="W5" s="22"/>
      <c r="X5" s="22"/>
    </row>
    <row r="6" spans="1:24" ht="15" customHeight="1">
      <c r="A6" s="329"/>
      <c r="B6" s="14"/>
      <c r="C6" s="797"/>
      <c r="D6" s="797"/>
      <c r="E6" s="797"/>
      <c r="F6" s="32"/>
      <c r="G6" s="924"/>
      <c r="H6" s="924"/>
      <c r="I6" s="924"/>
      <c r="J6" s="924"/>
      <c r="K6" s="799"/>
      <c r="L6" s="799"/>
      <c r="M6" s="799"/>
      <c r="N6" s="920"/>
      <c r="O6" s="920"/>
      <c r="P6" s="14"/>
      <c r="Q6" s="14"/>
      <c r="R6" s="14"/>
      <c r="S6" s="14"/>
      <c r="U6" s="157"/>
    </row>
    <row r="7" spans="1:24" ht="15" customHeight="1">
      <c r="A7" s="329"/>
      <c r="B7" s="14"/>
      <c r="C7" s="330"/>
      <c r="D7" s="330"/>
      <c r="E7" s="330"/>
      <c r="F7" s="42"/>
      <c r="G7" s="276"/>
      <c r="H7" s="276"/>
      <c r="I7" s="276"/>
      <c r="J7" s="276"/>
      <c r="K7" s="14"/>
      <c r="L7" s="14"/>
      <c r="M7" s="14"/>
      <c r="N7" s="14"/>
      <c r="O7" s="14"/>
      <c r="P7" s="14"/>
      <c r="Q7" s="14"/>
      <c r="R7" s="14"/>
      <c r="S7" s="14"/>
      <c r="U7" s="16" t="s">
        <v>241</v>
      </c>
    </row>
    <row r="8" spans="1:24" ht="15" customHeight="1">
      <c r="A8" s="329"/>
      <c r="B8" s="14"/>
      <c r="C8" s="330"/>
      <c r="D8" s="330"/>
      <c r="E8" s="330"/>
      <c r="F8" s="42"/>
      <c r="G8" s="276"/>
      <c r="H8" s="276"/>
      <c r="I8" s="276"/>
      <c r="J8" s="276"/>
      <c r="K8" s="799"/>
      <c r="L8" s="799"/>
      <c r="M8" s="799"/>
      <c r="N8" s="801"/>
      <c r="O8" s="801"/>
      <c r="P8" s="793"/>
      <c r="Q8" s="14"/>
      <c r="R8" s="14"/>
      <c r="S8" s="14"/>
      <c r="U8" s="16" t="s">
        <v>237</v>
      </c>
    </row>
    <row r="9" spans="1:24" s="23" customFormat="1" ht="15" customHeight="1">
      <c r="A9" s="329"/>
      <c r="B9" s="14"/>
      <c r="C9" s="330"/>
      <c r="D9" s="330"/>
      <c r="E9" s="330"/>
      <c r="F9" s="42"/>
      <c r="G9" s="276"/>
      <c r="H9" s="276"/>
      <c r="I9" s="276"/>
      <c r="J9" s="276"/>
      <c r="K9" s="799"/>
      <c r="L9" s="799"/>
      <c r="M9" s="799"/>
      <c r="N9" s="801"/>
      <c r="O9" s="801"/>
      <c r="P9" s="793"/>
      <c r="Q9" s="26"/>
      <c r="R9" s="26"/>
      <c r="S9" s="26"/>
      <c r="T9" s="22"/>
      <c r="U9" s="16" t="s">
        <v>225</v>
      </c>
      <c r="V9" s="16"/>
      <c r="W9" s="16"/>
      <c r="X9" s="16"/>
    </row>
    <row r="10" spans="1:24" ht="15" customHeight="1">
      <c r="A10" s="329"/>
      <c r="B10" s="14"/>
      <c r="C10" s="330"/>
      <c r="D10" s="330"/>
      <c r="E10" s="330"/>
      <c r="F10" s="42"/>
      <c r="G10" s="42"/>
      <c r="H10" s="42"/>
      <c r="I10" s="329"/>
      <c r="J10" s="329"/>
      <c r="K10" s="329"/>
      <c r="L10" s="329"/>
      <c r="M10" s="329"/>
      <c r="N10" s="329"/>
      <c r="O10" s="329"/>
      <c r="P10" s="329"/>
      <c r="Q10" s="329"/>
      <c r="R10" s="329"/>
      <c r="S10" s="329"/>
      <c r="U10" s="22"/>
      <c r="V10" s="22"/>
      <c r="W10" s="22"/>
      <c r="X10" s="22"/>
    </row>
    <row r="11" spans="1:24" ht="15" customHeight="1" thickBot="1">
      <c r="A11" s="329"/>
      <c r="B11" s="14"/>
      <c r="C11" s="14"/>
      <c r="D11" s="14"/>
      <c r="E11" s="14"/>
      <c r="F11" s="14"/>
      <c r="G11" s="14"/>
      <c r="H11" s="14"/>
      <c r="I11" s="329"/>
      <c r="J11" s="329"/>
      <c r="K11" s="329"/>
      <c r="L11" s="329"/>
      <c r="M11" s="329"/>
      <c r="N11" s="329"/>
      <c r="O11" s="329"/>
      <c r="P11" s="329"/>
      <c r="Q11" s="329"/>
      <c r="R11" s="329"/>
      <c r="S11" s="329"/>
      <c r="U11" s="918" t="s">
        <v>238</v>
      </c>
      <c r="V11" s="919"/>
      <c r="W11" s="919"/>
      <c r="X11" s="919"/>
    </row>
    <row r="12" spans="1:24" ht="15" customHeight="1" thickTop="1">
      <c r="A12" s="329"/>
      <c r="B12" s="29"/>
      <c r="C12" s="30"/>
      <c r="D12" s="30"/>
      <c r="E12" s="30"/>
      <c r="F12" s="30"/>
      <c r="G12" s="30"/>
      <c r="H12" s="30"/>
      <c r="I12" s="6"/>
      <c r="J12" s="6"/>
      <c r="K12" s="48"/>
      <c r="L12" s="329"/>
      <c r="M12" s="15"/>
      <c r="N12" s="15"/>
      <c r="O12" s="15"/>
      <c r="P12" s="15"/>
      <c r="Q12" s="15"/>
      <c r="R12" s="15"/>
      <c r="S12" s="329"/>
      <c r="U12" s="919"/>
      <c r="V12" s="919"/>
      <c r="W12" s="919"/>
      <c r="X12" s="919"/>
    </row>
    <row r="13" spans="1:24" s="23" customFormat="1" ht="15" customHeight="1">
      <c r="A13" s="26"/>
      <c r="B13" s="31"/>
      <c r="C13" s="901" t="s">
        <v>394</v>
      </c>
      <c r="D13" s="902">
        <v>150</v>
      </c>
      <c r="E13" s="902"/>
      <c r="F13" s="793"/>
      <c r="G13" s="922" t="s">
        <v>393</v>
      </c>
      <c r="H13" s="922"/>
      <c r="I13" s="902">
        <v>5</v>
      </c>
      <c r="J13" s="925">
        <v>1</v>
      </c>
      <c r="K13" s="900"/>
      <c r="L13" s="26"/>
      <c r="M13" s="41"/>
      <c r="N13" s="41"/>
      <c r="O13" s="41"/>
      <c r="P13" s="41"/>
      <c r="Q13" s="41"/>
      <c r="R13" s="41"/>
      <c r="S13" s="26"/>
      <c r="T13" s="22"/>
      <c r="U13" s="919"/>
      <c r="V13" s="919"/>
      <c r="W13" s="919"/>
      <c r="X13" s="919"/>
    </row>
    <row r="14" spans="1:24" ht="15" customHeight="1">
      <c r="A14" s="329"/>
      <c r="B14" s="8"/>
      <c r="C14" s="901"/>
      <c r="D14" s="902"/>
      <c r="E14" s="902"/>
      <c r="F14" s="793"/>
      <c r="G14" s="922"/>
      <c r="H14" s="922"/>
      <c r="I14" s="902"/>
      <c r="J14" s="925"/>
      <c r="K14" s="900"/>
      <c r="L14" s="26"/>
      <c r="M14" s="851" t="s">
        <v>163</v>
      </c>
      <c r="N14" s="851"/>
      <c r="O14" s="845">
        <f>IF(F25=0,"",T45)</f>
        <v>89460.144381340739</v>
      </c>
      <c r="P14" s="845"/>
      <c r="Q14" s="839" t="str">
        <f>IF(F25="","","kWh/a")</f>
        <v>kWh/a</v>
      </c>
      <c r="R14" s="839"/>
      <c r="S14" s="329"/>
      <c r="U14" s="919"/>
      <c r="V14" s="919"/>
      <c r="W14" s="919"/>
      <c r="X14" s="919"/>
    </row>
    <row r="15" spans="1:24" ht="15" customHeight="1">
      <c r="A15" s="329"/>
      <c r="B15" s="8"/>
      <c r="C15" s="329"/>
      <c r="D15" s="329"/>
      <c r="E15" s="329"/>
      <c r="F15" s="33"/>
      <c r="G15" s="33"/>
      <c r="H15" s="329"/>
      <c r="I15" s="15"/>
      <c r="J15" s="15"/>
      <c r="K15" s="40"/>
      <c r="L15" s="15"/>
      <c r="M15" s="851"/>
      <c r="N15" s="851"/>
      <c r="O15" s="845"/>
      <c r="P15" s="845"/>
      <c r="Q15" s="839"/>
      <c r="R15" s="839"/>
      <c r="S15" s="329"/>
      <c r="U15" s="919"/>
      <c r="V15" s="919"/>
      <c r="W15" s="919"/>
      <c r="X15" s="919"/>
    </row>
    <row r="16" spans="1:24" ht="15" customHeight="1">
      <c r="A16" s="329"/>
      <c r="B16" s="8"/>
      <c r="C16" s="329"/>
      <c r="D16" s="329"/>
      <c r="E16" s="329"/>
      <c r="F16" s="33"/>
      <c r="G16" s="33"/>
      <c r="H16" s="329"/>
      <c r="I16" s="27"/>
      <c r="J16" s="27"/>
      <c r="K16" s="40"/>
      <c r="L16" s="27"/>
      <c r="M16" s="851"/>
      <c r="N16" s="851"/>
      <c r="O16" s="840">
        <f>IF(F25=0,"",U45)</f>
        <v>3220.5651977282664</v>
      </c>
      <c r="P16" s="840"/>
      <c r="Q16" s="841" t="str">
        <f>IF(F25=0,"","€/a")</f>
        <v>€/a</v>
      </c>
      <c r="R16" s="841"/>
      <c r="S16" s="329"/>
    </row>
    <row r="17" spans="1:24" s="23" customFormat="1" ht="15" customHeight="1">
      <c r="A17" s="26"/>
      <c r="B17" s="31"/>
      <c r="C17" s="793" t="s">
        <v>99</v>
      </c>
      <c r="D17" s="793"/>
      <c r="E17" s="793"/>
      <c r="F17" s="838" t="s">
        <v>329</v>
      </c>
      <c r="G17" s="838"/>
      <c r="H17" s="47">
        <f>IF(F17="","",VLOOKUP(F17,'Default values '!A2:B7,2,FALSE))</f>
        <v>0.9</v>
      </c>
      <c r="I17" s="27"/>
      <c r="J17" s="27"/>
      <c r="K17" s="46"/>
      <c r="L17" s="27"/>
      <c r="M17" s="851"/>
      <c r="N17" s="851"/>
      <c r="O17" s="840"/>
      <c r="P17" s="840"/>
      <c r="Q17" s="841"/>
      <c r="R17" s="841"/>
      <c r="S17" s="26"/>
      <c r="T17" s="22"/>
      <c r="U17" s="22"/>
      <c r="V17" s="22"/>
      <c r="W17" s="22"/>
      <c r="X17" s="22"/>
    </row>
    <row r="18" spans="1:24" ht="15" customHeight="1">
      <c r="A18" s="329"/>
      <c r="B18" s="8"/>
      <c r="C18" s="793"/>
      <c r="D18" s="793"/>
      <c r="E18" s="793"/>
      <c r="F18" s="838"/>
      <c r="G18" s="838"/>
      <c r="H18" s="15"/>
      <c r="I18" s="329"/>
      <c r="J18" s="329"/>
      <c r="K18" s="9"/>
      <c r="L18" s="329"/>
      <c r="M18" s="842" t="s">
        <v>164</v>
      </c>
      <c r="N18" s="842"/>
      <c r="O18" s="916">
        <f>IF(F25=0,"",V46)</f>
        <v>81028.936501801974</v>
      </c>
      <c r="P18" s="916">
        <f>IF(F25=0,"",V47)</f>
        <v>86524.309985176995</v>
      </c>
      <c r="Q18" s="898" t="str">
        <f>IF(O18="","","kWh/a")</f>
        <v>kWh/a</v>
      </c>
      <c r="R18" s="898"/>
      <c r="S18" s="329"/>
    </row>
    <row r="19" spans="1:24" ht="15" customHeight="1">
      <c r="A19" s="329"/>
      <c r="B19" s="8"/>
      <c r="C19" s="15"/>
      <c r="D19" s="15"/>
      <c r="E19" s="15"/>
      <c r="F19" s="33"/>
      <c r="G19" s="33"/>
      <c r="H19" s="15"/>
      <c r="I19" s="329"/>
      <c r="J19" s="329"/>
      <c r="K19" s="9"/>
      <c r="L19" s="329"/>
      <c r="M19" s="842"/>
      <c r="N19" s="842"/>
      <c r="O19" s="916"/>
      <c r="P19" s="916"/>
      <c r="Q19" s="898"/>
      <c r="R19" s="898"/>
      <c r="S19" s="329"/>
    </row>
    <row r="20" spans="1:24" ht="15" customHeight="1">
      <c r="A20" s="329"/>
      <c r="B20" s="8"/>
      <c r="C20" s="329"/>
      <c r="D20" s="329"/>
      <c r="E20" s="329"/>
      <c r="F20" s="33"/>
      <c r="G20" s="33"/>
      <c r="H20" s="329"/>
      <c r="I20" s="329"/>
      <c r="J20" s="329"/>
      <c r="K20" s="9"/>
      <c r="L20" s="329"/>
      <c r="M20" s="842"/>
      <c r="N20" s="842"/>
      <c r="O20" s="917">
        <f>IF(F25=0,"",W46)</f>
        <v>2917.0417140648706</v>
      </c>
      <c r="P20" s="917">
        <f>IF(F25=0,"",W47)</f>
        <v>3114.8751594663718</v>
      </c>
      <c r="Q20" s="899" t="str">
        <f>IF(F25=0,"","€/a")</f>
        <v>€/a</v>
      </c>
      <c r="R20" s="899"/>
      <c r="S20" s="329"/>
    </row>
    <row r="21" spans="1:24" s="23" customFormat="1" ht="15" customHeight="1">
      <c r="A21" s="26"/>
      <c r="B21" s="31"/>
      <c r="C21" s="793" t="s">
        <v>36</v>
      </c>
      <c r="D21" s="793"/>
      <c r="E21" s="793"/>
      <c r="F21" s="850">
        <v>15</v>
      </c>
      <c r="G21" s="850"/>
      <c r="H21" s="793" t="s">
        <v>22</v>
      </c>
      <c r="I21" s="26"/>
      <c r="J21" s="26"/>
      <c r="K21" s="46"/>
      <c r="L21" s="26"/>
      <c r="M21" s="842"/>
      <c r="N21" s="842"/>
      <c r="O21" s="917"/>
      <c r="P21" s="917"/>
      <c r="Q21" s="899"/>
      <c r="R21" s="899"/>
      <c r="S21" s="26"/>
      <c r="T21" s="22"/>
      <c r="U21" s="22"/>
      <c r="V21" s="22"/>
      <c r="W21" s="22"/>
      <c r="X21" s="22"/>
    </row>
    <row r="22" spans="1:24" ht="15" customHeight="1">
      <c r="A22" s="329"/>
      <c r="B22" s="8"/>
      <c r="C22" s="793"/>
      <c r="D22" s="793"/>
      <c r="E22" s="793"/>
      <c r="F22" s="850"/>
      <c r="G22" s="850"/>
      <c r="H22" s="793"/>
      <c r="I22" s="329"/>
      <c r="J22" s="329"/>
      <c r="K22" s="9"/>
      <c r="L22" s="329"/>
      <c r="M22" s="41"/>
      <c r="N22" s="41"/>
      <c r="O22" s="41"/>
      <c r="P22" s="41"/>
      <c r="Q22" s="41"/>
      <c r="R22" s="41"/>
      <c r="S22" s="329"/>
    </row>
    <row r="23" spans="1:24" ht="15" customHeight="1">
      <c r="A23" s="329"/>
      <c r="B23" s="8"/>
      <c r="C23" s="329"/>
      <c r="D23" s="329"/>
      <c r="E23" s="329"/>
      <c r="F23" s="329"/>
      <c r="G23" s="329"/>
      <c r="H23" s="18"/>
      <c r="I23" s="19"/>
      <c r="J23" s="19"/>
      <c r="K23" s="40"/>
      <c r="L23" s="329"/>
      <c r="M23" s="45"/>
      <c r="N23" s="43"/>
      <c r="O23" s="43"/>
      <c r="P23" s="43"/>
      <c r="Q23" s="43"/>
      <c r="R23" s="43"/>
      <c r="S23" s="329"/>
    </row>
    <row r="24" spans="1:24" ht="15" customHeight="1">
      <c r="A24" s="329"/>
      <c r="B24" s="8"/>
      <c r="C24" s="329"/>
      <c r="D24" s="329"/>
      <c r="E24" s="329"/>
      <c r="F24" s="329"/>
      <c r="G24" s="329"/>
      <c r="H24" s="19"/>
      <c r="I24" s="19"/>
      <c r="J24" s="19"/>
      <c r="K24" s="40"/>
      <c r="L24" s="329"/>
      <c r="M24" s="49"/>
      <c r="N24" s="44"/>
      <c r="O24" s="44"/>
      <c r="P24" s="44"/>
      <c r="Q24" s="43"/>
      <c r="R24" s="43"/>
      <c r="S24" s="329"/>
    </row>
    <row r="25" spans="1:24" ht="15" customHeight="1">
      <c r="A25" s="26"/>
      <c r="B25" s="8"/>
      <c r="C25" s="793" t="s">
        <v>284</v>
      </c>
      <c r="D25" s="793"/>
      <c r="E25" s="793"/>
      <c r="F25" s="850">
        <v>210</v>
      </c>
      <c r="G25" s="850"/>
      <c r="H25" s="793" t="s">
        <v>22</v>
      </c>
      <c r="I25" s="19"/>
      <c r="J25" s="19"/>
      <c r="K25" s="40"/>
      <c r="L25" s="329"/>
      <c r="M25" s="856" t="str">
        <f>O54</f>
        <v>SAFETY-Insulation recommended</v>
      </c>
      <c r="N25" s="856"/>
      <c r="O25" s="856"/>
      <c r="P25" s="856"/>
      <c r="Q25" s="43"/>
      <c r="R25" s="43"/>
      <c r="S25" s="329"/>
    </row>
    <row r="26" spans="1:24" ht="15" customHeight="1">
      <c r="A26" s="329"/>
      <c r="B26" s="8"/>
      <c r="C26" s="793"/>
      <c r="D26" s="793"/>
      <c r="E26" s="793"/>
      <c r="F26" s="850"/>
      <c r="G26" s="850"/>
      <c r="H26" s="793"/>
      <c r="I26" s="19"/>
      <c r="J26" s="19"/>
      <c r="K26" s="40"/>
      <c r="L26" s="329"/>
      <c r="M26" s="856"/>
      <c r="N26" s="856"/>
      <c r="O26" s="856"/>
      <c r="P26" s="856"/>
      <c r="Q26" s="43"/>
      <c r="R26" s="329"/>
      <c r="S26" s="329"/>
    </row>
    <row r="27" spans="1:24" ht="15" customHeight="1" thickBot="1">
      <c r="A27" s="329"/>
      <c r="B27" s="10"/>
      <c r="C27" s="11"/>
      <c r="D27" s="11"/>
      <c r="E27" s="11"/>
      <c r="F27" s="11"/>
      <c r="G27" s="11"/>
      <c r="H27" s="11"/>
      <c r="I27" s="11"/>
      <c r="J27" s="11"/>
      <c r="K27" s="12"/>
      <c r="L27" s="329"/>
      <c r="M27" s="856"/>
      <c r="N27" s="856"/>
      <c r="O27" s="856"/>
      <c r="P27" s="856"/>
      <c r="Q27" s="43"/>
      <c r="R27" s="329"/>
      <c r="S27" s="329"/>
    </row>
    <row r="28" spans="1:24" ht="15" customHeight="1" thickTop="1" thickBot="1">
      <c r="A28" s="329"/>
      <c r="B28" s="329"/>
      <c r="C28" s="329"/>
      <c r="D28" s="329"/>
      <c r="E28" s="329"/>
      <c r="F28" s="329"/>
      <c r="G28" s="329"/>
      <c r="H28" s="329"/>
      <c r="I28" s="329"/>
      <c r="J28" s="329"/>
      <c r="K28" s="329"/>
      <c r="L28" s="329"/>
      <c r="M28" s="329"/>
      <c r="N28" s="329"/>
      <c r="O28" s="329"/>
      <c r="P28" s="329"/>
      <c r="Q28" s="329"/>
      <c r="R28" s="329"/>
      <c r="S28" s="329"/>
    </row>
    <row r="29" spans="1:24" ht="15" customHeight="1" thickTop="1">
      <c r="A29" s="329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329"/>
    </row>
    <row r="30" spans="1:24">
      <c r="A30" s="329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</row>
    <row r="31" spans="1:24">
      <c r="A31" s="329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</row>
    <row r="32" spans="1:24">
      <c r="A32" s="329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</row>
    <row r="33" spans="1:30">
      <c r="A33" s="329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</row>
    <row r="34" spans="1:30">
      <c r="A34" s="329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</row>
    <row r="35" spans="1:30">
      <c r="A35" s="329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</row>
    <row r="36" spans="1:30">
      <c r="A36" s="329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</row>
    <row r="37" spans="1:30">
      <c r="A37" s="329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</row>
    <row r="38" spans="1:30">
      <c r="A38" s="329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</row>
    <row r="39" spans="1:30">
      <c r="A39" s="329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</row>
    <row r="40" spans="1:30">
      <c r="A40" s="329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</row>
    <row r="41" spans="1:30">
      <c r="A41" s="329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</row>
    <row r="42" spans="1:30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</row>
    <row r="43" spans="1:30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</row>
    <row r="44" spans="1:30" ht="68.25" thickBot="1">
      <c r="A44" s="802" t="s">
        <v>5</v>
      </c>
      <c r="B44" s="803"/>
      <c r="C44" s="331" t="s">
        <v>158</v>
      </c>
      <c r="D44" s="331" t="s">
        <v>102</v>
      </c>
      <c r="E44" s="331" t="s">
        <v>103</v>
      </c>
      <c r="F44" s="82"/>
      <c r="G44" s="82" t="s">
        <v>29</v>
      </c>
      <c r="H44" s="82" t="s">
        <v>30</v>
      </c>
      <c r="I44" s="84" t="s">
        <v>78</v>
      </c>
      <c r="J44" s="82" t="s">
        <v>59</v>
      </c>
      <c r="K44" s="82" t="s">
        <v>58</v>
      </c>
      <c r="L44" s="82" t="s">
        <v>369</v>
      </c>
      <c r="M44" s="83" t="s">
        <v>13</v>
      </c>
      <c r="N44" s="112" t="s">
        <v>106</v>
      </c>
      <c r="O44" s="83" t="s">
        <v>104</v>
      </c>
      <c r="P44" s="83" t="s">
        <v>105</v>
      </c>
      <c r="Q44" s="83" t="s">
        <v>26</v>
      </c>
      <c r="R44" s="113" t="s">
        <v>107</v>
      </c>
      <c r="S44" s="78" t="s">
        <v>365</v>
      </c>
      <c r="T44" s="80" t="s">
        <v>84</v>
      </c>
      <c r="U44" s="80" t="s">
        <v>85</v>
      </c>
      <c r="V44" s="888" t="s">
        <v>60</v>
      </c>
      <c r="W44" s="888"/>
      <c r="X44" s="115"/>
      <c r="Y44" s="114"/>
      <c r="Z44" s="114"/>
      <c r="AA44" s="114"/>
      <c r="AB44" s="16"/>
      <c r="AC44" s="16"/>
      <c r="AD44" s="16"/>
    </row>
    <row r="45" spans="1:30" ht="19.5" thickBot="1">
      <c r="A45" s="889">
        <f>G4</f>
        <v>0</v>
      </c>
      <c r="B45" s="890"/>
      <c r="C45" s="332">
        <f>D13</f>
        <v>150</v>
      </c>
      <c r="D45" s="226">
        <f>VLOOKUP(C45,A75:B114,2,TRUE)</f>
        <v>0.16900000000000001</v>
      </c>
      <c r="E45" s="509">
        <f>J13</f>
        <v>1</v>
      </c>
      <c r="F45" s="332"/>
      <c r="G45" s="224">
        <f>F25</f>
        <v>210</v>
      </c>
      <c r="H45" s="224">
        <f>F21</f>
        <v>15</v>
      </c>
      <c r="I45" s="228">
        <f>H17</f>
        <v>0.9</v>
      </c>
      <c r="J45" s="224">
        <f>P5</f>
        <v>8760</v>
      </c>
      <c r="K45" s="228">
        <f>+TBi!L27</f>
        <v>3.5999999999999997E-2</v>
      </c>
      <c r="L45" s="224">
        <f>I13</f>
        <v>5</v>
      </c>
      <c r="M45" s="125">
        <f>IF(G45=0,"",I45*D60*(((G45+273)^4-(H45+273)^4)/(G45-H45)))</f>
        <v>12.442717585358828</v>
      </c>
      <c r="N45" s="159">
        <f>D45^3*ABS(G45-H45)</f>
        <v>0.94122775500000011</v>
      </c>
      <c r="O45" s="126">
        <f>IF(G45=0,"",1.25*(ABS(G45-H45)/D45)^0.25)</f>
        <v>7.2852924426908157</v>
      </c>
      <c r="P45" s="126">
        <f>1.21*(ABS(G45-H45))^0.33</f>
        <v>6.8944050057171316</v>
      </c>
      <c r="Q45" s="126">
        <f>IF(N45&lt;10,O45+M45,P45+M45)</f>
        <v>19.728010028049646</v>
      </c>
      <c r="R45" s="160">
        <f>1/(D59*Q45*D45)</f>
        <v>9.5472682936798947E-2</v>
      </c>
      <c r="S45" s="127">
        <f>IF(G45=0,"",ABS(G45-H45)/R45)</f>
        <v>2042.4690498022999</v>
      </c>
      <c r="T45" s="128">
        <f>IF(G45="","",L45*S45*J45*E45/1000)</f>
        <v>89460.144381340739</v>
      </c>
      <c r="U45" s="174">
        <f>IF(G45=0,"",T45*K45)</f>
        <v>3220.5651977282664</v>
      </c>
      <c r="V45" s="121" t="s">
        <v>61</v>
      </c>
      <c r="W45" s="121" t="s">
        <v>23</v>
      </c>
      <c r="X45" s="116"/>
      <c r="Y45" s="117"/>
      <c r="Z45" s="117"/>
      <c r="AA45" s="117"/>
      <c r="AB45" s="16"/>
      <c r="AC45" s="16"/>
      <c r="AD45" s="16"/>
    </row>
    <row r="46" spans="1:30" ht="15.75" thickBot="1">
      <c r="A46" s="889" t="s">
        <v>290</v>
      </c>
      <c r="B46" s="890"/>
      <c r="C46" s="332"/>
      <c r="D46" s="226">
        <f>E53</f>
        <v>0.26900000000000002</v>
      </c>
      <c r="E46" s="509">
        <f t="shared" ref="E46:K47" si="0">E45</f>
        <v>1</v>
      </c>
      <c r="F46" s="332"/>
      <c r="G46" s="227">
        <f t="shared" si="0"/>
        <v>210</v>
      </c>
      <c r="H46" s="224">
        <f t="shared" si="0"/>
        <v>15</v>
      </c>
      <c r="I46" s="228">
        <f t="shared" si="0"/>
        <v>0.9</v>
      </c>
      <c r="J46" s="224">
        <f t="shared" si="0"/>
        <v>8760</v>
      </c>
      <c r="K46" s="228">
        <f t="shared" si="0"/>
        <v>3.5999999999999997E-2</v>
      </c>
      <c r="L46" s="224">
        <f>L45</f>
        <v>5</v>
      </c>
      <c r="M46" s="125">
        <f>IF(G46=0,"",I46*D60*(((G46+273)^4-(H46+273)^4)/(G46-H46)))</f>
        <v>12.442717585358828</v>
      </c>
      <c r="N46" s="159">
        <f>D46^3*ABS(G46-H46)</f>
        <v>3.7956962550000011</v>
      </c>
      <c r="O46" s="126">
        <f>IF(G46=0,"",1.25*(ABS(G46-H46)/D46)^0.25)</f>
        <v>6.4860545339665618</v>
      </c>
      <c r="P46" s="126">
        <f>1.21*(ABS(G46-H46))^0.33</f>
        <v>6.8944050057171316</v>
      </c>
      <c r="Q46" s="126">
        <f>IF(N46&lt;10,O46+M46,P46+M46)</f>
        <v>18.928772119325391</v>
      </c>
      <c r="R46" s="160">
        <f>1/(D59*Q46*D46)</f>
        <v>6.2513582631518058E-2</v>
      </c>
      <c r="S46" s="127">
        <f>ABS(G45-H45)/(E54+R46)</f>
        <v>192.49333058307687</v>
      </c>
      <c r="T46" s="230">
        <f>IF(G46=0,"",L46*S46*J46*E46/1000)</f>
        <v>8431.2078795387679</v>
      </c>
      <c r="U46" s="231">
        <f>IF(G46=0,"",T46*K46)</f>
        <v>303.52348366339561</v>
      </c>
      <c r="V46" s="79">
        <f>T45-T46</f>
        <v>81028.936501801974</v>
      </c>
      <c r="W46" s="173">
        <f>U45-U46</f>
        <v>2917.0417140648706</v>
      </c>
      <c r="X46" s="116"/>
      <c r="Y46" s="117"/>
      <c r="Z46" s="117"/>
      <c r="AA46" s="117"/>
      <c r="AB46" s="16"/>
      <c r="AC46" s="16"/>
      <c r="AD46" s="16"/>
    </row>
    <row r="47" spans="1:30">
      <c r="A47" s="889" t="s">
        <v>291</v>
      </c>
      <c r="B47" s="890"/>
      <c r="C47" s="381"/>
      <c r="D47" s="226">
        <f>F53</f>
        <v>0.66900000000000004</v>
      </c>
      <c r="E47" s="509">
        <f t="shared" si="0"/>
        <v>1</v>
      </c>
      <c r="F47" s="381"/>
      <c r="G47" s="227">
        <f t="shared" si="0"/>
        <v>210</v>
      </c>
      <c r="H47" s="224">
        <f t="shared" si="0"/>
        <v>15</v>
      </c>
      <c r="I47" s="228">
        <f t="shared" si="0"/>
        <v>0.9</v>
      </c>
      <c r="J47" s="224">
        <f t="shared" si="0"/>
        <v>8760</v>
      </c>
      <c r="K47" s="228">
        <f t="shared" si="0"/>
        <v>3.5999999999999997E-2</v>
      </c>
      <c r="L47" s="224">
        <f>L46</f>
        <v>5</v>
      </c>
      <c r="M47" s="125">
        <f>IF(G47=0,"",I47*$D$60*(((G47+273)^4-(H47+273)^4)/(G47-H47)))</f>
        <v>12.442717585358828</v>
      </c>
      <c r="N47" s="159">
        <f>D47^3*ABS(G47-H47)</f>
        <v>58.386570255000009</v>
      </c>
      <c r="O47" s="126">
        <f>IF(G47=0,"",1.25*(ABS(G47-H47)/D47)^0.25)</f>
        <v>5.1649026050144045</v>
      </c>
      <c r="P47" s="126">
        <f>1.21*(ABS(G47-H47))^0.33</f>
        <v>6.8944050057171316</v>
      </c>
      <c r="Q47" s="126">
        <f>IF(N47&lt;10,O47+M47,P47+M47)</f>
        <v>19.337122591075961</v>
      </c>
      <c r="R47" s="160">
        <f>1/(D59*Q47*D47)</f>
        <v>2.4605440445073352E-2</v>
      </c>
      <c r="S47" s="127">
        <f>ABS(G47-H47)/(F54+R47)</f>
        <v>67.028182560816049</v>
      </c>
      <c r="T47" s="230">
        <f>IF(G47=0,"",L47*S47*J47*E47/1000)</f>
        <v>2935.8343961637429</v>
      </c>
      <c r="U47" s="231">
        <f>IF(G47=0,"",T47*K47)</f>
        <v>105.69003826189474</v>
      </c>
      <c r="V47" s="415">
        <f>T45-T47</f>
        <v>86524.309985176995</v>
      </c>
      <c r="W47" s="415">
        <f>U45-U47</f>
        <v>3114.8751594663718</v>
      </c>
      <c r="X47" s="116"/>
      <c r="Y47" s="117"/>
      <c r="Z47" s="117"/>
      <c r="AA47" s="117"/>
      <c r="AB47" s="16"/>
      <c r="AC47" s="16"/>
      <c r="AD47" s="16"/>
    </row>
    <row r="48" spans="1:30" s="16" customFormat="1" ht="19.5" thickBot="1">
      <c r="A48" s="56"/>
      <c r="B48" s="56"/>
      <c r="C48" s="56"/>
      <c r="D48" s="56"/>
      <c r="E48" s="57" t="s">
        <v>288</v>
      </c>
      <c r="F48" s="57" t="s">
        <v>289</v>
      </c>
      <c r="G48" s="57"/>
      <c r="H48" s="57"/>
      <c r="I48" s="57"/>
      <c r="J48" s="58"/>
      <c r="K48" s="59"/>
      <c r="L48" s="58"/>
      <c r="M48" s="60"/>
      <c r="N48" s="129"/>
      <c r="O48" s="129"/>
      <c r="P48" s="891"/>
      <c r="Q48" s="891"/>
      <c r="R48" s="36"/>
      <c r="S48" s="36"/>
      <c r="T48" s="36"/>
    </row>
    <row r="49" spans="1:22" s="16" customFormat="1" ht="19.5" thickBot="1">
      <c r="A49" s="62"/>
      <c r="B49" s="56"/>
      <c r="C49" s="894" t="s">
        <v>51</v>
      </c>
      <c r="D49" s="895"/>
      <c r="E49" s="545">
        <f>(G45+(H45+35))/2</f>
        <v>130</v>
      </c>
      <c r="F49" s="545">
        <f>(G45+(H45+20))/2</f>
        <v>122.5</v>
      </c>
      <c r="G49" s="57"/>
      <c r="H49" s="57"/>
      <c r="I49" s="57"/>
      <c r="J49" s="58"/>
      <c r="K49" s="59"/>
      <c r="L49" s="75"/>
      <c r="M49" s="75"/>
      <c r="N49" s="75"/>
      <c r="O49" s="75"/>
      <c r="P49" s="333"/>
      <c r="Q49" s="333"/>
      <c r="R49" s="36"/>
      <c r="S49" s="36"/>
      <c r="T49" s="36"/>
    </row>
    <row r="50" spans="1:22" s="16" customFormat="1" ht="16.149999999999999" customHeight="1" thickBot="1">
      <c r="A50" s="56"/>
      <c r="B50" s="56"/>
      <c r="C50" s="894" t="s">
        <v>52</v>
      </c>
      <c r="D50" s="895"/>
      <c r="E50" s="274">
        <f>C63+C64*E49+C65*E49^2+C66*E49^3</f>
        <v>5.1885952299999996E-2</v>
      </c>
      <c r="F50" s="274">
        <f>C63+C64*F49+C65*F49^2+C66*F49^3</f>
        <v>5.0608294595312499E-2</v>
      </c>
      <c r="G50" s="57"/>
      <c r="H50" s="57"/>
      <c r="I50" s="57"/>
      <c r="J50" s="58"/>
      <c r="K50" s="59"/>
      <c r="L50" s="58"/>
      <c r="M50" s="60"/>
      <c r="N50" s="129"/>
      <c r="O50" s="129"/>
      <c r="P50" s="123"/>
      <c r="Q50" s="233"/>
      <c r="R50" s="36"/>
      <c r="S50" s="36"/>
      <c r="T50" s="36"/>
      <c r="V50" s="16" t="s">
        <v>235</v>
      </c>
    </row>
    <row r="51" spans="1:22" s="16" customFormat="1" ht="16.899999999999999" customHeight="1" thickBot="1">
      <c r="A51" s="56"/>
      <c r="B51" s="56"/>
      <c r="C51" s="926" t="s">
        <v>56</v>
      </c>
      <c r="D51" s="821"/>
      <c r="E51" s="273">
        <f>E50*C62</f>
        <v>7.7828928450000001E-2</v>
      </c>
      <c r="F51" s="273">
        <f>F50*C62</f>
        <v>7.5912441892968752E-2</v>
      </c>
      <c r="G51" s="57"/>
      <c r="H51" s="57"/>
      <c r="I51" s="57"/>
      <c r="J51" s="58"/>
      <c r="K51" s="59"/>
      <c r="L51" s="58"/>
      <c r="M51" s="60"/>
      <c r="N51" s="129"/>
      <c r="O51" s="129"/>
      <c r="P51" s="123"/>
      <c r="Q51" s="233"/>
      <c r="R51" s="36"/>
      <c r="S51" s="36"/>
      <c r="T51" s="36"/>
    </row>
    <row r="52" spans="1:22" s="16" customFormat="1" ht="15.75" thickBot="1">
      <c r="A52" s="56"/>
      <c r="B52" s="56"/>
      <c r="C52" s="886" t="s">
        <v>54</v>
      </c>
      <c r="D52" s="887"/>
      <c r="E52" s="142">
        <f>IF((G45-H45)&lt;F63,G63/1000,IF((G45-H45)&lt;F64,G64/1000,IF((G45-H45)&lt;F65,(G65/1000),G66/1000)))</f>
        <v>0.05</v>
      </c>
      <c r="F52" s="414">
        <f>IF((G45-H45)&lt;F63,H63/1000,IF((G45-H45)&lt;F64,H64/1000,IF((G45-H45)&lt;F65,(H65/1000),H66/1000)))</f>
        <v>0.25</v>
      </c>
      <c r="G52" s="57" t="s">
        <v>46</v>
      </c>
      <c r="H52" s="57"/>
      <c r="I52" s="57"/>
      <c r="J52" s="58"/>
      <c r="K52" s="59"/>
      <c r="L52" s="58"/>
      <c r="M52" s="60"/>
      <c r="N52" s="123"/>
      <c r="O52" s="123"/>
      <c r="P52" s="129"/>
      <c r="Q52" s="129"/>
      <c r="R52" s="36"/>
      <c r="S52" s="36"/>
      <c r="T52" s="36"/>
      <c r="U52" s="145"/>
      <c r="V52" s="145"/>
    </row>
    <row r="53" spans="1:22" s="16" customFormat="1" ht="15.75" thickBot="1">
      <c r="A53" s="56"/>
      <c r="B53" s="56"/>
      <c r="C53" s="886" t="s">
        <v>167</v>
      </c>
      <c r="D53" s="887" t="s">
        <v>160</v>
      </c>
      <c r="E53" s="142">
        <f>D45+2*E52</f>
        <v>0.26900000000000002</v>
      </c>
      <c r="F53" s="414">
        <f>D45+2*F52</f>
        <v>0.66900000000000004</v>
      </c>
      <c r="G53" s="57" t="s">
        <v>46</v>
      </c>
      <c r="H53" s="57"/>
      <c r="I53" s="57"/>
      <c r="J53" s="58"/>
      <c r="K53" s="59"/>
      <c r="L53" s="58"/>
      <c r="M53" s="60"/>
      <c r="N53" s="123"/>
      <c r="O53" s="123"/>
      <c r="P53" s="129"/>
      <c r="Q53" s="129"/>
      <c r="R53" s="36"/>
      <c r="S53" s="36"/>
      <c r="T53" s="36"/>
    </row>
    <row r="54" spans="1:22" s="16" customFormat="1" ht="15.75" thickBot="1">
      <c r="A54" s="56"/>
      <c r="B54" s="56"/>
      <c r="C54" s="886" t="s">
        <v>161</v>
      </c>
      <c r="D54" s="887"/>
      <c r="E54" s="146">
        <f>LN(E53/D45)/(2*D59*E51)</f>
        <v>0.95050852784540207</v>
      </c>
      <c r="F54" s="146">
        <f>LN(F53/D45)/(2*D59*F51)</f>
        <v>2.8846185986085366</v>
      </c>
      <c r="G54" s="57"/>
      <c r="H54" s="57"/>
      <c r="I54" s="57"/>
      <c r="J54" s="58"/>
      <c r="K54" s="59"/>
      <c r="L54" s="58"/>
      <c r="M54" s="60"/>
      <c r="N54" s="123"/>
      <c r="O54" s="877" t="str">
        <f>IF(E55&gt;S46,IF(G45&gt;D71,"SAFETY-Insulation recommended","Insulation recommended"),"Insulation_ok")</f>
        <v>SAFETY-Insulation recommended</v>
      </c>
      <c r="P54" s="878"/>
      <c r="Q54" s="878"/>
      <c r="R54" s="878"/>
      <c r="S54" s="878"/>
      <c r="T54" s="879"/>
    </row>
    <row r="55" spans="1:22" s="16" customFormat="1" ht="15.75" thickBot="1">
      <c r="A55" s="56"/>
      <c r="B55" s="56"/>
      <c r="C55" s="886" t="s">
        <v>138</v>
      </c>
      <c r="D55" s="887"/>
      <c r="E55" s="151">
        <f>S45-(10000*D70*E56/J45/K45)</f>
        <v>1908.4808458449179</v>
      </c>
      <c r="F55" s="151"/>
      <c r="G55" s="57"/>
      <c r="H55" s="57"/>
      <c r="I55" s="57"/>
      <c r="J55" s="58"/>
      <c r="K55" s="59"/>
      <c r="L55" s="58"/>
      <c r="M55" s="60"/>
      <c r="N55" s="123"/>
      <c r="O55" s="880"/>
      <c r="P55" s="881"/>
      <c r="Q55" s="881"/>
      <c r="R55" s="881"/>
      <c r="S55" s="881"/>
      <c r="T55" s="882"/>
    </row>
    <row r="56" spans="1:22" s="16" customFormat="1" ht="15.75" thickBot="1">
      <c r="A56" s="56"/>
      <c r="B56" s="56"/>
      <c r="C56" s="886" t="s">
        <v>131</v>
      </c>
      <c r="D56" s="887"/>
      <c r="E56" s="146">
        <f>D59*(E53)</f>
        <v>0.84509040000000002</v>
      </c>
      <c r="F56" s="146"/>
      <c r="G56" s="57"/>
      <c r="H56" s="57"/>
      <c r="I56" s="57"/>
      <c r="J56" s="58"/>
      <c r="K56" s="59"/>
      <c r="L56" s="58"/>
      <c r="M56" s="60"/>
      <c r="N56" s="123"/>
      <c r="O56" s="883"/>
      <c r="P56" s="884"/>
      <c r="Q56" s="884"/>
      <c r="R56" s="884"/>
      <c r="S56" s="884"/>
      <c r="T56" s="885"/>
    </row>
    <row r="57" spans="1:22" s="16" customFormat="1">
      <c r="A57" s="56"/>
      <c r="B57" s="56"/>
      <c r="C57" s="56"/>
      <c r="D57" s="144"/>
      <c r="E57" s="124"/>
      <c r="F57" s="58"/>
      <c r="G57" s="57"/>
      <c r="H57" s="57"/>
      <c r="I57" s="57"/>
      <c r="J57" s="58"/>
      <c r="K57" s="59"/>
      <c r="L57" s="58"/>
      <c r="M57" s="60"/>
      <c r="N57" s="123"/>
      <c r="O57" s="123"/>
      <c r="P57" s="129"/>
      <c r="Q57" s="129"/>
      <c r="R57" s="36"/>
      <c r="S57" s="36"/>
      <c r="T57" s="36"/>
    </row>
    <row r="58" spans="1:22" s="16" customFormat="1" ht="15.75" thickBot="1">
      <c r="A58" s="904" t="s">
        <v>109</v>
      </c>
      <c r="B58" s="904"/>
      <c r="C58" s="904"/>
      <c r="D58" s="904"/>
      <c r="E58" s="904"/>
      <c r="F58" s="904"/>
      <c r="G58" s="904"/>
      <c r="H58" s="904"/>
      <c r="I58" s="904"/>
      <c r="J58" s="904"/>
      <c r="K58" s="904"/>
      <c r="L58" s="904"/>
      <c r="M58" s="904"/>
      <c r="N58" s="904"/>
      <c r="O58" s="904"/>
      <c r="P58" s="904"/>
      <c r="Q58" s="904"/>
      <c r="R58" s="904"/>
      <c r="S58" s="904"/>
      <c r="T58" s="904"/>
      <c r="U58" s="16" t="s">
        <v>82</v>
      </c>
    </row>
    <row r="59" spans="1:22" s="2" customFormat="1" ht="15.75" thickBot="1">
      <c r="A59" s="905" t="s">
        <v>162</v>
      </c>
      <c r="B59" s="906"/>
      <c r="C59" s="906"/>
      <c r="D59" s="232">
        <v>3.1415999999999999</v>
      </c>
      <c r="E59" s="57"/>
      <c r="F59" s="57"/>
      <c r="G59" s="57"/>
      <c r="H59" s="57"/>
      <c r="I59" s="132"/>
      <c r="J59" s="133"/>
      <c r="K59" s="134"/>
      <c r="L59" s="133"/>
      <c r="M59" s="135"/>
      <c r="N59" s="150"/>
      <c r="O59" s="150"/>
      <c r="P59" s="137"/>
      <c r="Q59" s="137"/>
      <c r="R59" s="138"/>
      <c r="S59" s="138"/>
      <c r="T59" s="138"/>
    </row>
    <row r="60" spans="1:22" s="2" customFormat="1" ht="15.75" thickBot="1">
      <c r="A60" s="907" t="s">
        <v>80</v>
      </c>
      <c r="B60" s="906"/>
      <c r="C60" s="906"/>
      <c r="D60" s="165">
        <v>5.6703669999999997E-8</v>
      </c>
      <c r="E60" s="57"/>
      <c r="F60" s="57"/>
      <c r="G60" s="57"/>
      <c r="H60" s="57"/>
      <c r="I60" s="132" t="s">
        <v>132</v>
      </c>
      <c r="J60" s="133"/>
      <c r="K60" s="134"/>
      <c r="L60" s="133"/>
      <c r="M60" s="135"/>
      <c r="N60" s="150"/>
      <c r="O60" s="150"/>
      <c r="P60" s="137"/>
      <c r="Q60" s="137"/>
      <c r="R60" s="138"/>
      <c r="S60" s="138"/>
      <c r="T60" s="138"/>
    </row>
    <row r="61" spans="1:22" s="2" customFormat="1" ht="15.75" thickBot="1">
      <c r="A61" s="161"/>
      <c r="B61" s="908" t="s">
        <v>110</v>
      </c>
      <c r="C61" s="909"/>
      <c r="D61" s="161"/>
      <c r="E61" s="910" t="s">
        <v>112</v>
      </c>
      <c r="F61" s="911"/>
      <c r="G61" s="912"/>
      <c r="H61" s="57"/>
      <c r="I61" s="132"/>
      <c r="J61" s="133"/>
      <c r="K61" s="134"/>
      <c r="L61" s="133"/>
      <c r="M61" s="135"/>
      <c r="N61" s="150"/>
      <c r="O61" s="150"/>
      <c r="P61" s="137"/>
      <c r="Q61" s="137"/>
      <c r="R61" s="138"/>
      <c r="S61" s="138"/>
      <c r="T61" s="138"/>
    </row>
    <row r="62" spans="1:22" s="2" customFormat="1" ht="15.75" thickBot="1">
      <c r="A62" s="340"/>
      <c r="B62" s="163" t="s">
        <v>53</v>
      </c>
      <c r="C62" s="229">
        <v>1.5</v>
      </c>
      <c r="D62" s="57"/>
      <c r="E62" s="445"/>
      <c r="F62" s="446" t="s">
        <v>65</v>
      </c>
      <c r="G62" s="447" t="s">
        <v>286</v>
      </c>
      <c r="H62" s="447" t="s">
        <v>287</v>
      </c>
      <c r="I62" s="133"/>
      <c r="J62" s="134"/>
      <c r="K62" s="133"/>
      <c r="L62" s="135"/>
      <c r="M62" s="150"/>
      <c r="N62" s="150"/>
      <c r="O62" s="137"/>
      <c r="P62" s="137"/>
      <c r="Q62" s="138"/>
      <c r="R62" s="138"/>
      <c r="S62" s="138"/>
      <c r="T62" s="139"/>
    </row>
    <row r="63" spans="1:22" s="2" customFormat="1">
      <c r="A63" s="340"/>
      <c r="B63" s="164" t="s">
        <v>47</v>
      </c>
      <c r="C63" s="165">
        <f>0.0338</f>
        <v>3.3799999999999997E-2</v>
      </c>
      <c r="D63" s="57"/>
      <c r="E63" s="448" t="s">
        <v>81</v>
      </c>
      <c r="F63" s="449">
        <v>80</v>
      </c>
      <c r="G63" s="450">
        <v>20</v>
      </c>
      <c r="H63" s="450">
        <v>100</v>
      </c>
      <c r="I63" s="133"/>
      <c r="J63" s="134"/>
      <c r="K63" s="133"/>
      <c r="L63" s="135"/>
      <c r="M63" s="150"/>
      <c r="N63" s="150"/>
      <c r="O63" s="137"/>
      <c r="P63" s="137"/>
      <c r="Q63" s="138"/>
      <c r="R63" s="138"/>
      <c r="S63" s="138"/>
      <c r="T63" s="139"/>
    </row>
    <row r="64" spans="1:22" s="2" customFormat="1">
      <c r="A64" s="340"/>
      <c r="B64" s="164" t="s">
        <v>48</v>
      </c>
      <c r="C64" s="165">
        <v>1.1730000000000001E-4</v>
      </c>
      <c r="D64" s="57"/>
      <c r="E64" s="448" t="s">
        <v>81</v>
      </c>
      <c r="F64" s="449">
        <v>150</v>
      </c>
      <c r="G64" s="450">
        <v>30</v>
      </c>
      <c r="H64" s="450">
        <v>180</v>
      </c>
      <c r="I64" s="133"/>
      <c r="J64" s="134"/>
      <c r="K64" s="133"/>
      <c r="L64" s="135"/>
      <c r="M64" s="150"/>
      <c r="N64" s="150"/>
      <c r="O64" s="137"/>
      <c r="P64" s="137"/>
      <c r="Q64" s="138"/>
      <c r="R64" s="138"/>
      <c r="S64" s="138"/>
      <c r="T64" s="139"/>
    </row>
    <row r="65" spans="1:24" s="2" customFormat="1">
      <c r="A65" s="340"/>
      <c r="B65" s="164" t="s">
        <v>49</v>
      </c>
      <c r="C65" s="165">
        <v>7.5450000000000004E-8</v>
      </c>
      <c r="D65" s="57"/>
      <c r="E65" s="448" t="s">
        <v>81</v>
      </c>
      <c r="F65" s="449">
        <v>250</v>
      </c>
      <c r="G65" s="450">
        <v>50</v>
      </c>
      <c r="H65" s="450">
        <v>250</v>
      </c>
      <c r="I65" s="133"/>
      <c r="J65" s="134"/>
      <c r="K65" s="133"/>
      <c r="L65" s="135"/>
      <c r="M65" s="150"/>
      <c r="N65" s="150"/>
      <c r="O65" s="137"/>
      <c r="P65" s="137"/>
      <c r="Q65" s="138"/>
      <c r="R65" s="138"/>
      <c r="S65" s="138"/>
      <c r="T65" s="139"/>
    </row>
    <row r="66" spans="1:24" customFormat="1" ht="15.75" thickBot="1">
      <c r="A66" s="56"/>
      <c r="B66" s="166" t="s">
        <v>50</v>
      </c>
      <c r="C66" s="167">
        <v>7.109E-10</v>
      </c>
      <c r="D66" s="57"/>
      <c r="E66" s="448" t="s">
        <v>81</v>
      </c>
      <c r="F66" s="449"/>
      <c r="G66" s="450">
        <v>80</v>
      </c>
      <c r="H66" s="450">
        <v>300</v>
      </c>
      <c r="I66" s="135"/>
      <c r="J66" s="139"/>
      <c r="K66" s="139"/>
      <c r="L66" s="137"/>
      <c r="M66" s="137"/>
      <c r="N66" s="139"/>
      <c r="O66" s="137"/>
      <c r="P66" s="140"/>
      <c r="Q66" s="138"/>
      <c r="R66" s="138"/>
      <c r="S66" s="138"/>
      <c r="T66" s="139"/>
    </row>
    <row r="67" spans="1:24" customFormat="1">
      <c r="A67" s="56"/>
      <c r="B67" s="89"/>
      <c r="C67" s="168"/>
      <c r="D67" s="57"/>
      <c r="E67" s="57"/>
      <c r="F67" s="58"/>
      <c r="G67" s="59"/>
      <c r="H67" s="58"/>
      <c r="I67" s="135"/>
      <c r="J67" s="139"/>
      <c r="K67" s="139"/>
      <c r="L67" s="137"/>
      <c r="M67" s="137"/>
      <c r="N67" s="139"/>
      <c r="O67" s="826" t="s">
        <v>142</v>
      </c>
      <c r="P67" s="826"/>
      <c r="Q67" s="826"/>
      <c r="R67" s="826"/>
      <c r="S67" s="826"/>
      <c r="T67" s="826"/>
    </row>
    <row r="68" spans="1:24" customFormat="1" ht="15.75" thickBot="1">
      <c r="A68" s="56"/>
      <c r="B68" s="16"/>
      <c r="C68" s="129"/>
      <c r="D68" s="38"/>
      <c r="E68" s="16"/>
      <c r="F68" s="16"/>
      <c r="G68" s="16"/>
      <c r="H68" s="58"/>
      <c r="I68" s="135"/>
      <c r="J68" s="139"/>
      <c r="K68" s="139"/>
      <c r="L68" s="137"/>
      <c r="M68" s="137"/>
      <c r="N68" s="139"/>
      <c r="O68" s="847" t="s">
        <v>143</v>
      </c>
      <c r="P68" s="847"/>
      <c r="Q68" s="847"/>
      <c r="R68" s="234">
        <v>80</v>
      </c>
      <c r="S68" s="196" t="s">
        <v>62</v>
      </c>
      <c r="T68" s="197"/>
    </row>
    <row r="69" spans="1:24" customFormat="1" ht="15.75" thickBot="1">
      <c r="A69" s="169"/>
      <c r="B69" s="170" t="s">
        <v>130</v>
      </c>
      <c r="C69" s="155"/>
      <c r="D69" s="221">
        <v>1.6</v>
      </c>
      <c r="E69" s="16"/>
      <c r="F69" s="16"/>
      <c r="G69" s="16"/>
      <c r="H69" s="58"/>
      <c r="I69" s="135"/>
      <c r="J69" s="139"/>
      <c r="K69" s="139"/>
      <c r="L69" s="137"/>
      <c r="M69" s="137"/>
      <c r="N69" s="139"/>
      <c r="O69" s="847" t="s">
        <v>144</v>
      </c>
      <c r="P69" s="847"/>
      <c r="Q69" s="847"/>
      <c r="R69" s="234">
        <v>250</v>
      </c>
      <c r="S69" s="196" t="s">
        <v>62</v>
      </c>
      <c r="T69" s="197"/>
    </row>
    <row r="70" spans="1:24" customFormat="1" ht="15.75" thickBot="1">
      <c r="A70" s="913" t="s">
        <v>148</v>
      </c>
      <c r="B70" s="914"/>
      <c r="C70" s="915"/>
      <c r="D70" s="220">
        <v>5</v>
      </c>
      <c r="E70" s="171"/>
      <c r="F70" s="58"/>
      <c r="G70" s="59"/>
      <c r="H70" s="58"/>
      <c r="I70" s="135"/>
      <c r="J70" s="139"/>
      <c r="K70" s="139"/>
      <c r="L70" s="137"/>
      <c r="M70" s="137"/>
      <c r="N70" s="139"/>
      <c r="O70" s="847" t="s">
        <v>64</v>
      </c>
      <c r="P70" s="847"/>
      <c r="Q70" s="847"/>
      <c r="R70" s="234">
        <v>5</v>
      </c>
      <c r="S70" s="196" t="s">
        <v>63</v>
      </c>
      <c r="T70" s="197"/>
      <c r="U70" t="s">
        <v>114</v>
      </c>
    </row>
    <row r="71" spans="1:24" customFormat="1" ht="15.75" thickBot="1">
      <c r="A71" s="913" t="s">
        <v>86</v>
      </c>
      <c r="B71" s="914"/>
      <c r="C71" s="915"/>
      <c r="D71" s="219">
        <v>55</v>
      </c>
      <c r="E71" s="171" t="s">
        <v>22</v>
      </c>
      <c r="F71" s="58"/>
      <c r="G71" s="59"/>
      <c r="H71" s="58"/>
      <c r="I71" s="135"/>
      <c r="J71" s="139"/>
      <c r="K71" s="139"/>
      <c r="L71" s="137"/>
      <c r="M71" s="137"/>
      <c r="N71" s="139"/>
      <c r="O71" s="847" t="s">
        <v>146</v>
      </c>
      <c r="P71" s="847"/>
      <c r="Q71" s="847"/>
      <c r="R71" s="300">
        <f>0.1*R68/R70</f>
        <v>1.6</v>
      </c>
      <c r="S71" s="196"/>
      <c r="T71" s="197"/>
      <c r="U71" t="s">
        <v>236</v>
      </c>
    </row>
    <row r="72" spans="1:24" customFormat="1">
      <c r="A72" s="66"/>
      <c r="B72" s="148"/>
      <c r="C72" s="149"/>
      <c r="D72" s="132"/>
      <c r="E72" s="132"/>
      <c r="F72" s="133"/>
      <c r="G72" s="134"/>
      <c r="H72" s="133"/>
      <c r="I72" s="135"/>
      <c r="J72" s="139"/>
      <c r="K72" s="139"/>
      <c r="L72" s="137"/>
      <c r="M72" s="137"/>
      <c r="N72" s="139"/>
      <c r="O72" s="847" t="s">
        <v>147</v>
      </c>
      <c r="P72" s="847"/>
      <c r="Q72" s="847"/>
      <c r="R72" s="236">
        <f>0.1*R69/R70</f>
        <v>5</v>
      </c>
      <c r="S72" s="198"/>
      <c r="T72" s="197"/>
    </row>
    <row r="74" spans="1:24">
      <c r="A74" s="277" t="s">
        <v>158</v>
      </c>
      <c r="B74" s="277" t="s">
        <v>44</v>
      </c>
    </row>
    <row r="75" spans="1:24">
      <c r="A75" s="278">
        <v>10</v>
      </c>
      <c r="B75" s="279">
        <v>1.7999999999999999E-2</v>
      </c>
      <c r="S75" s="16"/>
      <c r="X75" s="17"/>
    </row>
    <row r="76" spans="1:24">
      <c r="A76" s="278">
        <v>15</v>
      </c>
      <c r="B76" s="279">
        <v>2.1999999999999999E-2</v>
      </c>
      <c r="S76" s="16"/>
      <c r="X76" s="17"/>
    </row>
    <row r="77" spans="1:24">
      <c r="A77" s="278">
        <v>20</v>
      </c>
      <c r="B77" s="279">
        <v>2.7E-2</v>
      </c>
      <c r="S77" s="16"/>
      <c r="X77" s="17"/>
    </row>
    <row r="78" spans="1:24">
      <c r="A78" s="278">
        <v>25</v>
      </c>
      <c r="B78" s="279">
        <v>3.4000000000000002E-2</v>
      </c>
      <c r="S78" s="16"/>
      <c r="X78" s="17"/>
    </row>
    <row r="79" spans="1:24">
      <c r="A79" s="278">
        <v>32</v>
      </c>
      <c r="B79" s="279">
        <v>4.2999999999999997E-2</v>
      </c>
      <c r="S79" s="16"/>
      <c r="X79" s="17"/>
    </row>
    <row r="80" spans="1:24">
      <c r="A80" s="278">
        <v>40</v>
      </c>
      <c r="B80" s="279">
        <v>4.9000000000000002E-2</v>
      </c>
      <c r="S80" s="16"/>
      <c r="X80" s="17"/>
    </row>
    <row r="81" spans="1:24">
      <c r="A81" s="278">
        <v>50</v>
      </c>
      <c r="B81" s="279">
        <v>6.0999999999999999E-2</v>
      </c>
      <c r="S81" s="16"/>
      <c r="X81" s="17"/>
    </row>
    <row r="82" spans="1:24">
      <c r="A82" s="278">
        <v>60</v>
      </c>
      <c r="B82" s="279">
        <v>7.1999999999999995E-2</v>
      </c>
      <c r="S82" s="16"/>
      <c r="X82" s="17"/>
    </row>
    <row r="83" spans="1:24">
      <c r="A83" s="278">
        <v>65</v>
      </c>
      <c r="B83" s="279">
        <v>7.6999999999999999E-2</v>
      </c>
      <c r="S83" s="16"/>
      <c r="X83" s="17"/>
    </row>
    <row r="84" spans="1:24">
      <c r="A84" s="278">
        <v>80</v>
      </c>
      <c r="B84" s="279">
        <v>8.8999999999999996E-2</v>
      </c>
      <c r="S84" s="16"/>
      <c r="X84" s="17"/>
    </row>
    <row r="85" spans="1:24">
      <c r="A85" s="278">
        <v>100</v>
      </c>
      <c r="B85" s="279">
        <v>0.115</v>
      </c>
      <c r="S85" s="16"/>
      <c r="X85" s="17"/>
    </row>
    <row r="86" spans="1:24">
      <c r="A86" s="278">
        <v>125</v>
      </c>
      <c r="B86" s="279">
        <v>0.14099999999999999</v>
      </c>
      <c r="S86" s="16"/>
      <c r="X86" s="17"/>
    </row>
    <row r="87" spans="1:24">
      <c r="A87" s="278">
        <v>150</v>
      </c>
      <c r="B87" s="279">
        <v>0.16900000000000001</v>
      </c>
      <c r="S87" s="16"/>
      <c r="X87" s="17"/>
    </row>
    <row r="88" spans="1:24">
      <c r="A88" s="278">
        <v>200</v>
      </c>
      <c r="B88" s="279">
        <v>0.22</v>
      </c>
      <c r="S88" s="16"/>
      <c r="X88" s="17"/>
    </row>
    <row r="89" spans="1:24">
      <c r="A89" s="278">
        <v>250</v>
      </c>
      <c r="B89" s="279">
        <v>0.27300000000000002</v>
      </c>
      <c r="S89" s="16"/>
      <c r="X89" s="17"/>
    </row>
    <row r="90" spans="1:24">
      <c r="A90" s="278">
        <v>300</v>
      </c>
      <c r="B90" s="279">
        <v>0.32400000000000001</v>
      </c>
      <c r="S90" s="16"/>
      <c r="X90" s="17"/>
    </row>
    <row r="91" spans="1:24">
      <c r="A91" s="278">
        <v>350</v>
      </c>
      <c r="B91" s="279">
        <v>0.35599999999999998</v>
      </c>
      <c r="S91" s="16"/>
      <c r="X91" s="17"/>
    </row>
    <row r="92" spans="1:24">
      <c r="A92" s="278">
        <v>400</v>
      </c>
      <c r="B92" s="279">
        <v>0.40699999999999997</v>
      </c>
      <c r="S92" s="16"/>
      <c r="X92" s="17"/>
    </row>
    <row r="93" spans="1:24">
      <c r="A93" s="278">
        <v>450</v>
      </c>
      <c r="B93" s="279">
        <v>0.45800000000000002</v>
      </c>
      <c r="S93" s="16"/>
      <c r="X93" s="17"/>
    </row>
    <row r="94" spans="1:24">
      <c r="A94" s="278">
        <v>500</v>
      </c>
      <c r="B94" s="279">
        <v>0.50800000000000001</v>
      </c>
      <c r="S94" s="16"/>
      <c r="X94" s="17"/>
    </row>
    <row r="95" spans="1:24">
      <c r="A95" s="278">
        <v>600</v>
      </c>
      <c r="B95" s="279">
        <v>0.61</v>
      </c>
      <c r="S95" s="16"/>
      <c r="X95" s="17"/>
    </row>
    <row r="96" spans="1:24">
      <c r="A96" s="278">
        <v>700</v>
      </c>
      <c r="B96" s="279">
        <v>0.71199999999999997</v>
      </c>
      <c r="S96" s="16"/>
      <c r="X96" s="17"/>
    </row>
    <row r="97" spans="1:24">
      <c r="A97" s="278">
        <v>800</v>
      </c>
      <c r="B97" s="279">
        <v>0.81299999999999994</v>
      </c>
      <c r="S97" s="16"/>
      <c r="X97" s="17"/>
    </row>
    <row r="98" spans="1:24">
      <c r="A98" s="278">
        <v>900</v>
      </c>
      <c r="B98" s="279">
        <v>0.91500000000000004</v>
      </c>
      <c r="S98" s="16"/>
      <c r="X98" s="17"/>
    </row>
    <row r="99" spans="1:24">
      <c r="A99" s="278">
        <v>1000</v>
      </c>
      <c r="B99" s="279">
        <v>1.016</v>
      </c>
      <c r="S99" s="16"/>
      <c r="X99" s="17"/>
    </row>
    <row r="100" spans="1:24">
      <c r="A100" s="278">
        <v>1100</v>
      </c>
      <c r="B100" s="279">
        <v>1.1200000000000001</v>
      </c>
      <c r="S100" s="16"/>
      <c r="X100" s="17"/>
    </row>
    <row r="101" spans="1:24">
      <c r="A101" s="278">
        <v>1200</v>
      </c>
      <c r="B101" s="279">
        <v>1.22</v>
      </c>
      <c r="S101" s="16"/>
      <c r="X101" s="17"/>
    </row>
    <row r="102" spans="1:24">
      <c r="A102" s="278">
        <v>1400</v>
      </c>
      <c r="B102" s="279">
        <v>1.42</v>
      </c>
      <c r="S102" s="16"/>
      <c r="X102" s="17"/>
    </row>
    <row r="103" spans="1:24">
      <c r="A103" s="278">
        <v>1500</v>
      </c>
      <c r="B103" s="279">
        <v>1.52</v>
      </c>
      <c r="S103" s="16"/>
      <c r="X103" s="17"/>
    </row>
    <row r="104" spans="1:24">
      <c r="A104" s="278">
        <v>1600</v>
      </c>
      <c r="B104" s="279">
        <v>1.62</v>
      </c>
      <c r="S104" s="16"/>
      <c r="X104" s="17"/>
    </row>
    <row r="105" spans="1:24">
      <c r="A105" s="278">
        <v>1800</v>
      </c>
      <c r="B105" s="279">
        <v>1.82</v>
      </c>
      <c r="S105" s="16"/>
      <c r="X105" s="17"/>
    </row>
    <row r="106" spans="1:24">
      <c r="A106" s="278">
        <v>2000</v>
      </c>
      <c r="B106" s="279">
        <v>2.02</v>
      </c>
      <c r="S106" s="16"/>
      <c r="X106" s="17"/>
    </row>
    <row r="107" spans="1:24">
      <c r="A107" s="278">
        <v>2000</v>
      </c>
      <c r="B107" s="279">
        <v>2.02</v>
      </c>
      <c r="S107" s="16"/>
      <c r="X107" s="17"/>
    </row>
    <row r="108" spans="1:24">
      <c r="A108" s="278">
        <v>2200</v>
      </c>
      <c r="B108" s="279">
        <v>2.2200000000000002</v>
      </c>
      <c r="S108" s="16"/>
      <c r="X108" s="17"/>
    </row>
    <row r="109" spans="1:24">
      <c r="A109" s="278">
        <v>2400</v>
      </c>
      <c r="B109" s="279">
        <v>2.42</v>
      </c>
      <c r="S109" s="16"/>
      <c r="X109" s="17"/>
    </row>
    <row r="110" spans="1:24">
      <c r="A110" s="278">
        <v>2600</v>
      </c>
      <c r="B110" s="279">
        <v>2.62</v>
      </c>
      <c r="S110" s="16"/>
      <c r="X110" s="17"/>
    </row>
    <row r="111" spans="1:24">
      <c r="A111" s="278">
        <v>2800</v>
      </c>
      <c r="B111" s="279">
        <v>2.82</v>
      </c>
      <c r="S111" s="16"/>
      <c r="X111" s="17"/>
    </row>
    <row r="112" spans="1:24">
      <c r="A112" s="278">
        <v>3000</v>
      </c>
      <c r="B112" s="279">
        <v>3.02</v>
      </c>
      <c r="S112" s="16"/>
      <c r="X112" s="17"/>
    </row>
    <row r="113" spans="1:24">
      <c r="A113" s="278">
        <v>3200</v>
      </c>
      <c r="B113" s="279">
        <v>3.22</v>
      </c>
      <c r="S113" s="16"/>
      <c r="X113" s="17"/>
    </row>
    <row r="114" spans="1:24">
      <c r="A114" s="278">
        <v>3400</v>
      </c>
      <c r="B114" s="279">
        <v>3.42</v>
      </c>
      <c r="S114" s="16"/>
      <c r="X114" s="17"/>
    </row>
    <row r="117" spans="1:24" ht="68.25" thickBot="1">
      <c r="A117" s="802" t="s">
        <v>5</v>
      </c>
      <c r="B117" s="803"/>
      <c r="C117" s="494" t="s">
        <v>158</v>
      </c>
      <c r="D117" s="494" t="s">
        <v>102</v>
      </c>
      <c r="E117" s="494" t="s">
        <v>103</v>
      </c>
      <c r="F117" s="82"/>
      <c r="G117" s="82" t="s">
        <v>29</v>
      </c>
      <c r="H117" s="82" t="s">
        <v>30</v>
      </c>
      <c r="I117" s="84" t="s">
        <v>78</v>
      </c>
      <c r="J117" s="82" t="s">
        <v>59</v>
      </c>
      <c r="K117" s="82" t="s">
        <v>58</v>
      </c>
      <c r="L117" s="82" t="s">
        <v>369</v>
      </c>
      <c r="M117" s="83" t="s">
        <v>13</v>
      </c>
      <c r="N117" s="112" t="s">
        <v>106</v>
      </c>
      <c r="O117" s="83" t="s">
        <v>104</v>
      </c>
      <c r="P117" s="83" t="s">
        <v>105</v>
      </c>
      <c r="Q117" s="83" t="s">
        <v>26</v>
      </c>
      <c r="R117" s="113" t="s">
        <v>107</v>
      </c>
      <c r="S117" s="78" t="s">
        <v>365</v>
      </c>
      <c r="T117" s="80" t="s">
        <v>84</v>
      </c>
      <c r="U117" s="80" t="s">
        <v>85</v>
      </c>
      <c r="V117" s="888" t="s">
        <v>60</v>
      </c>
      <c r="W117" s="888"/>
    </row>
    <row r="118" spans="1:24" ht="19.5" thickBot="1">
      <c r="A118" s="889"/>
      <c r="B118" s="890"/>
      <c r="C118" s="490"/>
      <c r="D118" s="512" t="s">
        <v>368</v>
      </c>
      <c r="E118" s="509"/>
      <c r="F118" s="490"/>
      <c r="G118" s="224"/>
      <c r="H118" s="224"/>
      <c r="I118" s="228"/>
      <c r="J118" s="224"/>
      <c r="K118" s="228"/>
      <c r="L118" s="228"/>
      <c r="M118" s="510">
        <v>1</v>
      </c>
      <c r="N118" s="511">
        <v>32</v>
      </c>
      <c r="O118" s="510">
        <v>33</v>
      </c>
      <c r="P118" s="510">
        <v>34</v>
      </c>
      <c r="Q118" s="510">
        <f>IF(N118&lt;10,O118+M118,P118+M118)</f>
        <v>35</v>
      </c>
      <c r="R118" s="510">
        <v>42</v>
      </c>
      <c r="S118" s="510">
        <v>43</v>
      </c>
      <c r="T118" s="513">
        <v>47</v>
      </c>
      <c r="U118" s="513">
        <v>6</v>
      </c>
      <c r="V118" s="121" t="s">
        <v>61</v>
      </c>
      <c r="W118" s="121" t="s">
        <v>23</v>
      </c>
    </row>
    <row r="119" spans="1:24" ht="15.75" thickBot="1">
      <c r="A119" s="889" t="s">
        <v>290</v>
      </c>
      <c r="B119" s="890"/>
      <c r="C119" s="490"/>
      <c r="D119" s="512" t="s">
        <v>366</v>
      </c>
      <c r="E119" s="509"/>
      <c r="F119" s="490"/>
      <c r="G119" s="227"/>
      <c r="H119" s="224"/>
      <c r="I119" s="228"/>
      <c r="J119" s="224"/>
      <c r="K119" s="228"/>
      <c r="L119" s="228"/>
      <c r="M119" s="510">
        <v>1</v>
      </c>
      <c r="N119" s="511">
        <v>32</v>
      </c>
      <c r="O119" s="510">
        <v>33</v>
      </c>
      <c r="P119" s="510">
        <v>34</v>
      </c>
      <c r="Q119" s="510">
        <f>IF(N119&lt;10,O119+M119,P119+M119)</f>
        <v>35</v>
      </c>
      <c r="R119" s="510">
        <v>42</v>
      </c>
      <c r="S119" s="510">
        <v>45</v>
      </c>
      <c r="T119" s="230">
        <v>47</v>
      </c>
      <c r="U119" s="230">
        <v>6</v>
      </c>
      <c r="V119" s="507">
        <v>26</v>
      </c>
      <c r="W119" s="507">
        <v>28</v>
      </c>
    </row>
    <row r="120" spans="1:24">
      <c r="A120" s="889" t="s">
        <v>291</v>
      </c>
      <c r="B120" s="890"/>
      <c r="C120" s="490"/>
      <c r="D120" s="512" t="s">
        <v>367</v>
      </c>
      <c r="E120" s="509"/>
      <c r="F120" s="490"/>
      <c r="G120" s="227"/>
      <c r="H120" s="224"/>
      <c r="I120" s="228"/>
      <c r="J120" s="224"/>
      <c r="K120" s="228"/>
      <c r="L120" s="228"/>
      <c r="M120" s="510">
        <v>1</v>
      </c>
      <c r="N120" s="511">
        <v>32</v>
      </c>
      <c r="O120" s="510">
        <v>33</v>
      </c>
      <c r="P120" s="510">
        <v>34</v>
      </c>
      <c r="Q120" s="510">
        <f>IF(N120&lt;10,O120+M120,P120+M120)</f>
        <v>35</v>
      </c>
      <c r="R120" s="510">
        <v>42</v>
      </c>
      <c r="S120" s="510">
        <v>46</v>
      </c>
      <c r="T120" s="230">
        <v>47</v>
      </c>
      <c r="U120" s="230">
        <v>6</v>
      </c>
      <c r="V120" s="507">
        <v>27</v>
      </c>
      <c r="W120" s="507">
        <v>29</v>
      </c>
    </row>
    <row r="121" spans="1:24" ht="18.75">
      <c r="A121" s="56"/>
      <c r="B121" s="56"/>
      <c r="C121" s="56"/>
      <c r="D121" s="56"/>
      <c r="E121" s="57" t="s">
        <v>288</v>
      </c>
      <c r="F121" s="57" t="s">
        <v>289</v>
      </c>
      <c r="G121" s="57"/>
      <c r="H121" s="57"/>
      <c r="I121" s="57"/>
      <c r="J121" s="58"/>
      <c r="K121" s="59"/>
      <c r="L121" s="58"/>
      <c r="M121" s="60"/>
      <c r="N121" s="129"/>
      <c r="O121" s="129"/>
      <c r="P121" s="891"/>
      <c r="Q121" s="891"/>
      <c r="R121" s="487"/>
      <c r="S121" s="487"/>
      <c r="T121" s="487"/>
    </row>
    <row r="122" spans="1:24" ht="18.75">
      <c r="A122" s="62"/>
      <c r="B122" s="56"/>
      <c r="C122" s="871" t="s">
        <v>51</v>
      </c>
      <c r="D122" s="872"/>
      <c r="E122" s="505">
        <v>7</v>
      </c>
      <c r="F122" s="505">
        <v>8</v>
      </c>
      <c r="G122" s="57"/>
      <c r="H122" s="57"/>
      <c r="I122" s="57"/>
      <c r="J122" s="58"/>
      <c r="K122" s="59"/>
      <c r="L122" s="75"/>
      <c r="M122" s="75"/>
      <c r="N122" s="75"/>
      <c r="O122" s="75"/>
      <c r="P122" s="493"/>
      <c r="Q122" s="493"/>
      <c r="R122" s="487"/>
      <c r="S122" s="487"/>
      <c r="T122" s="487"/>
    </row>
    <row r="123" spans="1:24" ht="15" customHeight="1">
      <c r="A123" s="56"/>
      <c r="B123" s="56"/>
      <c r="C123" s="871" t="s">
        <v>360</v>
      </c>
      <c r="D123" s="872"/>
      <c r="E123" s="505">
        <v>9</v>
      </c>
      <c r="F123" s="505">
        <v>10</v>
      </c>
      <c r="G123" s="57"/>
      <c r="H123" s="57"/>
      <c r="I123" s="57"/>
      <c r="J123" s="58"/>
      <c r="K123" s="59"/>
      <c r="L123" s="58"/>
      <c r="M123" s="60"/>
      <c r="N123" s="129"/>
      <c r="O123" s="129"/>
      <c r="P123" s="123"/>
      <c r="Q123" s="233"/>
      <c r="R123" s="487"/>
      <c r="S123" s="487"/>
      <c r="T123" s="487"/>
      <c r="V123" s="16" t="s">
        <v>169</v>
      </c>
    </row>
    <row r="124" spans="1:24" ht="15" customHeight="1" thickBot="1">
      <c r="A124" s="56"/>
      <c r="B124" s="56"/>
      <c r="C124" s="873" t="s">
        <v>359</v>
      </c>
      <c r="D124" s="874"/>
      <c r="E124" s="505">
        <v>11</v>
      </c>
      <c r="F124" s="505">
        <v>12</v>
      </c>
      <c r="G124" s="57"/>
      <c r="H124" s="57"/>
      <c r="I124" s="57"/>
      <c r="J124" s="58"/>
      <c r="K124" s="59"/>
      <c r="L124" s="58"/>
      <c r="M124" s="60"/>
      <c r="N124" s="129"/>
      <c r="O124" s="129"/>
      <c r="P124" s="123"/>
      <c r="Q124" s="233"/>
      <c r="R124" s="487"/>
      <c r="S124" s="487"/>
      <c r="T124" s="487"/>
    </row>
    <row r="125" spans="1:24" ht="16.5" thickBot="1">
      <c r="A125" s="56"/>
      <c r="B125" s="56"/>
      <c r="C125" s="822" t="s">
        <v>361</v>
      </c>
      <c r="D125" s="823"/>
      <c r="E125" s="505">
        <v>13</v>
      </c>
      <c r="F125" s="505">
        <v>14</v>
      </c>
      <c r="G125" s="57"/>
      <c r="H125" s="57"/>
      <c r="I125" s="57"/>
      <c r="J125" s="58"/>
      <c r="K125" s="59"/>
      <c r="L125" s="58"/>
      <c r="M125" s="60"/>
      <c r="N125" s="123"/>
      <c r="O125" s="123"/>
      <c r="P125" s="129"/>
      <c r="Q125" s="129"/>
      <c r="R125" s="487"/>
      <c r="S125" s="487"/>
      <c r="T125" s="487"/>
      <c r="U125" s="145"/>
      <c r="V125" s="145"/>
    </row>
    <row r="126" spans="1:24" ht="16.5" thickBot="1">
      <c r="A126" s="56"/>
      <c r="B126" s="56"/>
      <c r="C126" s="875" t="s">
        <v>364</v>
      </c>
      <c r="D126" s="876" t="s">
        <v>160</v>
      </c>
      <c r="E126" s="505">
        <v>36</v>
      </c>
      <c r="F126" s="505">
        <v>37</v>
      </c>
      <c r="G126" s="57"/>
      <c r="H126" s="57"/>
      <c r="I126" s="57"/>
      <c r="J126" s="58"/>
      <c r="K126" s="59"/>
      <c r="L126" s="58"/>
      <c r="M126" s="60"/>
      <c r="N126" s="123"/>
      <c r="O126" s="123"/>
      <c r="P126" s="129"/>
      <c r="Q126" s="129"/>
      <c r="R126" s="487"/>
      <c r="S126" s="487"/>
      <c r="T126" s="487"/>
    </row>
    <row r="127" spans="1:24" ht="16.5" thickBot="1">
      <c r="A127" s="56"/>
      <c r="B127" s="56"/>
      <c r="C127" s="875" t="s">
        <v>161</v>
      </c>
      <c r="D127" s="876"/>
      <c r="E127" s="505">
        <v>38</v>
      </c>
      <c r="F127" s="505">
        <v>39</v>
      </c>
      <c r="G127" s="57"/>
      <c r="H127" s="57"/>
      <c r="I127" s="57"/>
      <c r="J127" s="58"/>
      <c r="K127" s="59"/>
      <c r="L127" s="58"/>
      <c r="M127" s="60"/>
      <c r="N127" s="123"/>
      <c r="O127" s="877">
        <v>30</v>
      </c>
      <c r="P127" s="878"/>
      <c r="Q127" s="878"/>
      <c r="R127" s="878"/>
      <c r="S127" s="878"/>
      <c r="T127" s="879"/>
    </row>
    <row r="128" spans="1:24" ht="16.5" thickBot="1">
      <c r="A128" s="56"/>
      <c r="B128" s="56"/>
      <c r="C128" s="875" t="s">
        <v>138</v>
      </c>
      <c r="D128" s="876"/>
      <c r="E128" s="505">
        <v>48</v>
      </c>
      <c r="F128" s="505"/>
      <c r="G128" s="17" t="s">
        <v>171</v>
      </c>
      <c r="H128" s="57"/>
      <c r="I128" s="57"/>
      <c r="J128" s="58"/>
      <c r="K128" s="59"/>
      <c r="L128" s="58"/>
      <c r="M128" s="60"/>
      <c r="N128" s="123"/>
      <c r="O128" s="880"/>
      <c r="P128" s="881"/>
      <c r="Q128" s="881"/>
      <c r="R128" s="881"/>
      <c r="S128" s="881"/>
      <c r="T128" s="882"/>
    </row>
    <row r="129" spans="1:20" ht="16.5" thickBot="1">
      <c r="A129" s="56"/>
      <c r="B129" s="56"/>
      <c r="C129" s="886" t="s">
        <v>363</v>
      </c>
      <c r="D129" s="887"/>
      <c r="E129" s="505">
        <v>40</v>
      </c>
      <c r="F129" s="505"/>
      <c r="G129" s="57"/>
      <c r="H129" s="57"/>
      <c r="I129" s="57"/>
      <c r="J129" s="58"/>
      <c r="K129" s="59"/>
      <c r="L129" s="58"/>
      <c r="M129" s="60"/>
      <c r="N129" s="123"/>
      <c r="O129" s="883"/>
      <c r="P129" s="884"/>
      <c r="Q129" s="884"/>
      <c r="R129" s="884"/>
      <c r="S129" s="884"/>
      <c r="T129" s="885"/>
    </row>
  </sheetData>
  <mergeCells count="79">
    <mergeCell ref="A71:C71"/>
    <mergeCell ref="O71:Q71"/>
    <mergeCell ref="O72:Q72"/>
    <mergeCell ref="B61:C61"/>
    <mergeCell ref="E61:G61"/>
    <mergeCell ref="O67:T67"/>
    <mergeCell ref="O68:Q68"/>
    <mergeCell ref="O69:Q69"/>
    <mergeCell ref="A70:C70"/>
    <mergeCell ref="O70:Q70"/>
    <mergeCell ref="V44:W44"/>
    <mergeCell ref="A45:B45"/>
    <mergeCell ref="A46:B46"/>
    <mergeCell ref="A60:C60"/>
    <mergeCell ref="C49:D49"/>
    <mergeCell ref="C50:D50"/>
    <mergeCell ref="C51:D51"/>
    <mergeCell ref="C52:D52"/>
    <mergeCell ref="C53:D53"/>
    <mergeCell ref="C54:D54"/>
    <mergeCell ref="O54:T56"/>
    <mergeCell ref="C55:D55"/>
    <mergeCell ref="C56:D56"/>
    <mergeCell ref="A58:T58"/>
    <mergeCell ref="A59:C59"/>
    <mergeCell ref="P48:Q48"/>
    <mergeCell ref="Q14:R15"/>
    <mergeCell ref="O16:P17"/>
    <mergeCell ref="Q16:R17"/>
    <mergeCell ref="U11:X15"/>
    <mergeCell ref="C17:E18"/>
    <mergeCell ref="F17:G18"/>
    <mergeCell ref="M18:N21"/>
    <mergeCell ref="Q18:R19"/>
    <mergeCell ref="Q20:R21"/>
    <mergeCell ref="I13:I14"/>
    <mergeCell ref="J13:J14"/>
    <mergeCell ref="C21:E22"/>
    <mergeCell ref="F21:G22"/>
    <mergeCell ref="H21:H22"/>
    <mergeCell ref="N5:O6"/>
    <mergeCell ref="K8:M9"/>
    <mergeCell ref="N8:O9"/>
    <mergeCell ref="P8:P9"/>
    <mergeCell ref="K13:K14"/>
    <mergeCell ref="M14:N17"/>
    <mergeCell ref="O14:P15"/>
    <mergeCell ref="G5:J6"/>
    <mergeCell ref="C5:E6"/>
    <mergeCell ref="K5:M6"/>
    <mergeCell ref="C13:C14"/>
    <mergeCell ref="D13:E14"/>
    <mergeCell ref="F13:F14"/>
    <mergeCell ref="G13:H14"/>
    <mergeCell ref="A47:B47"/>
    <mergeCell ref="O18:O19"/>
    <mergeCell ref="P18:P19"/>
    <mergeCell ref="O20:O21"/>
    <mergeCell ref="P20:P21"/>
    <mergeCell ref="A44:B44"/>
    <mergeCell ref="M25:P27"/>
    <mergeCell ref="C25:E26"/>
    <mergeCell ref="F25:G26"/>
    <mergeCell ref="H25:H26"/>
    <mergeCell ref="A117:B117"/>
    <mergeCell ref="A118:B118"/>
    <mergeCell ref="A119:B119"/>
    <mergeCell ref="A120:B120"/>
    <mergeCell ref="P121:Q121"/>
    <mergeCell ref="C127:D127"/>
    <mergeCell ref="O127:T129"/>
    <mergeCell ref="C128:D128"/>
    <mergeCell ref="C129:D129"/>
    <mergeCell ref="V117:W117"/>
    <mergeCell ref="C122:D122"/>
    <mergeCell ref="C123:D123"/>
    <mergeCell ref="C124:D124"/>
    <mergeCell ref="C125:D125"/>
    <mergeCell ref="C126:D126"/>
  </mergeCells>
  <conditionalFormatting sqref="F25:G26">
    <cfRule type="cellIs" dxfId="8" priority="1" operator="greaterThan">
      <formula>55</formula>
    </cfRule>
  </conditionalFormatting>
  <dataValidations count="1">
    <dataValidation type="list" allowBlank="1" showInputMessage="1" showErrorMessage="1" promptTitle="Select a value " sqref="F17">
      <formula1>emissivity</formula1>
    </dataValidation>
  </dataValidations>
  <pageMargins left="0.7" right="0.7" top="0.75" bottom="0.75" header="0.3" footer="0.3"/>
  <drawing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FB892A0-905A-4889-84EC-F7DEF11F6A82}">
          <x14:formula1>
            <xm:f>'Default values '!$C$2:$C$10</xm:f>
          </x14:formula1>
          <xm:sqref>N5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>
  <dimension ref="A1:AA105"/>
  <sheetViews>
    <sheetView workbookViewId="0">
      <selection activeCell="W26" sqref="W26"/>
    </sheetView>
  </sheetViews>
  <sheetFormatPr baseColWidth="10" defaultColWidth="8.85546875" defaultRowHeight="15"/>
  <cols>
    <col min="1" max="1" width="7.28515625" style="17" customWidth="1"/>
    <col min="2" max="2" width="5.28515625" style="17" customWidth="1"/>
    <col min="3" max="3" width="13" style="17" customWidth="1"/>
    <col min="4" max="11" width="8.7109375" style="17" customWidth="1"/>
    <col min="12" max="12" width="6.85546875" style="17" customWidth="1"/>
    <col min="13" max="13" width="11.28515625" style="17" customWidth="1"/>
    <col min="14" max="17" width="8.7109375" style="17" customWidth="1"/>
    <col min="18" max="18" width="6.85546875" style="17" customWidth="1"/>
    <col min="19" max="19" width="5.7109375" style="17" customWidth="1"/>
    <col min="20" max="26" width="8.85546875" style="16"/>
    <col min="27" max="16384" width="8.85546875" style="17"/>
  </cols>
  <sheetData>
    <row r="1" spans="1:26" ht="15" customHeight="1">
      <c r="A1" s="283"/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283"/>
    </row>
    <row r="2" spans="1:26" ht="15" customHeight="1">
      <c r="A2" s="283"/>
      <c r="B2" s="15"/>
      <c r="C2" s="15"/>
      <c r="D2" s="15"/>
      <c r="E2" s="15"/>
      <c r="F2" s="15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</row>
    <row r="3" spans="1:26" ht="4.9000000000000004" customHeight="1">
      <c r="A3" s="283"/>
      <c r="B3" s="21"/>
      <c r="C3" s="21"/>
      <c r="D3" s="21"/>
      <c r="E3" s="21"/>
      <c r="F3" s="21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83"/>
    </row>
    <row r="4" spans="1:26" ht="5.45" customHeight="1">
      <c r="A4" s="283"/>
      <c r="B4" s="283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3"/>
      <c r="N4" s="283"/>
      <c r="O4" s="283"/>
      <c r="P4" s="283"/>
      <c r="Q4" s="283"/>
      <c r="R4" s="283"/>
      <c r="S4" s="283"/>
      <c r="T4" s="24"/>
    </row>
    <row r="5" spans="1:26" s="23" customFormat="1" ht="15" customHeight="1">
      <c r="A5" s="26"/>
      <c r="B5" s="28"/>
      <c r="C5" s="797" t="s">
        <v>15</v>
      </c>
      <c r="D5" s="797"/>
      <c r="E5" s="797"/>
      <c r="F5" s="947" t="s">
        <v>214</v>
      </c>
      <c r="G5" s="947"/>
      <c r="H5" s="947"/>
      <c r="I5" s="947"/>
      <c r="J5" s="947"/>
      <c r="K5" s="799" t="s">
        <v>14</v>
      </c>
      <c r="L5" s="799"/>
      <c r="M5" s="799"/>
      <c r="N5" s="838" t="s">
        <v>21</v>
      </c>
      <c r="O5" s="838"/>
      <c r="P5" s="32">
        <f>VLOOKUP(N5,'Default values '!C2:D10,2,TRUE)</f>
        <v>6000</v>
      </c>
      <c r="Q5" s="28"/>
      <c r="R5" s="28"/>
      <c r="S5" s="28"/>
      <c r="T5" s="25"/>
      <c r="U5" s="16"/>
      <c r="V5" s="22"/>
      <c r="W5" s="22"/>
      <c r="X5" s="22"/>
      <c r="Y5" s="22"/>
      <c r="Z5" s="22"/>
    </row>
    <row r="6" spans="1:26" ht="15" customHeight="1">
      <c r="A6" s="283"/>
      <c r="B6" s="14"/>
      <c r="C6" s="797"/>
      <c r="D6" s="797"/>
      <c r="E6" s="797"/>
      <c r="F6" s="947"/>
      <c r="G6" s="947"/>
      <c r="H6" s="947"/>
      <c r="I6" s="947"/>
      <c r="J6" s="947"/>
      <c r="K6" s="799"/>
      <c r="L6" s="799"/>
      <c r="M6" s="799"/>
      <c r="N6" s="838"/>
      <c r="O6" s="838"/>
      <c r="P6" s="14"/>
      <c r="Q6" s="14"/>
      <c r="R6" s="14"/>
      <c r="S6" s="14"/>
    </row>
    <row r="7" spans="1:26" ht="15" customHeight="1">
      <c r="A7" s="283"/>
      <c r="B7" s="14"/>
      <c r="C7" s="284"/>
      <c r="D7" s="284"/>
      <c r="E7" s="284"/>
      <c r="F7" s="42"/>
      <c r="G7" s="276"/>
      <c r="H7" s="276"/>
      <c r="I7" s="276"/>
      <c r="J7" s="276"/>
      <c r="K7" s="14"/>
      <c r="L7" s="14"/>
      <c r="M7" s="14"/>
      <c r="N7" s="14"/>
      <c r="O7" s="14"/>
      <c r="P7" s="14"/>
      <c r="Q7" s="14"/>
      <c r="R7" s="14"/>
      <c r="S7" s="14"/>
    </row>
    <row r="8" spans="1:26" ht="15" customHeight="1">
      <c r="A8" s="283"/>
      <c r="B8" s="14"/>
      <c r="C8" s="284"/>
      <c r="D8" s="284"/>
      <c r="E8" s="284"/>
      <c r="F8" s="42"/>
      <c r="G8" s="276"/>
      <c r="H8" s="276"/>
      <c r="I8" s="276"/>
      <c r="J8" s="276"/>
      <c r="K8" s="799"/>
      <c r="L8" s="799"/>
      <c r="M8" s="799"/>
      <c r="N8" s="801"/>
      <c r="O8" s="801"/>
      <c r="P8" s="793"/>
      <c r="Q8" s="14"/>
      <c r="R8" s="14"/>
      <c r="S8" s="14"/>
      <c r="U8" s="22"/>
    </row>
    <row r="9" spans="1:26" ht="15" customHeight="1">
      <c r="A9" s="283"/>
      <c r="B9" s="14"/>
      <c r="C9" s="284"/>
      <c r="D9" s="284"/>
      <c r="E9" s="284"/>
      <c r="F9" s="42"/>
      <c r="G9" s="276"/>
      <c r="H9" s="276"/>
      <c r="I9" s="276"/>
      <c r="J9" s="276"/>
      <c r="K9" s="799"/>
      <c r="L9" s="799"/>
      <c r="M9" s="799"/>
      <c r="N9" s="801"/>
      <c r="O9" s="801"/>
      <c r="P9" s="793"/>
      <c r="Q9" s="26"/>
      <c r="R9" s="26"/>
      <c r="S9" s="26"/>
    </row>
    <row r="10" spans="1:26" s="23" customFormat="1" ht="15" customHeight="1">
      <c r="A10" s="283"/>
      <c r="B10" s="14"/>
      <c r="C10" s="284"/>
      <c r="D10" s="284"/>
      <c r="E10" s="284"/>
      <c r="F10" s="42"/>
      <c r="G10" s="42"/>
      <c r="H10" s="42"/>
      <c r="I10" s="283"/>
      <c r="J10" s="283"/>
      <c r="K10" s="283"/>
      <c r="L10" s="283"/>
      <c r="M10" s="283"/>
      <c r="N10" s="283"/>
      <c r="O10" s="283"/>
      <c r="P10" s="283"/>
      <c r="Q10" s="283"/>
      <c r="R10" s="283"/>
      <c r="S10" s="283"/>
      <c r="T10" s="22"/>
      <c r="U10" s="22"/>
      <c r="V10" s="22"/>
      <c r="W10" s="22"/>
      <c r="X10" s="22"/>
      <c r="Y10" s="22"/>
      <c r="Z10" s="22"/>
    </row>
    <row r="11" spans="1:26" ht="15" customHeight="1" thickBot="1">
      <c r="A11" s="283"/>
      <c r="B11" s="14"/>
      <c r="C11" s="14"/>
      <c r="D11" s="14"/>
      <c r="E11" s="14"/>
      <c r="F11" s="14"/>
      <c r="G11" s="14"/>
      <c r="H11" s="14"/>
      <c r="I11" s="283"/>
      <c r="J11" s="283"/>
      <c r="K11" s="283"/>
      <c r="L11" s="283"/>
      <c r="M11" s="283"/>
      <c r="N11" s="283"/>
      <c r="O11" s="283"/>
      <c r="P11" s="283"/>
      <c r="Q11" s="283"/>
      <c r="R11" s="283"/>
      <c r="S11" s="283"/>
    </row>
    <row r="12" spans="1:26" ht="15" customHeight="1" thickTop="1">
      <c r="A12" s="283"/>
      <c r="B12" s="29"/>
      <c r="C12" s="30"/>
      <c r="D12" s="30"/>
      <c r="E12" s="30"/>
      <c r="F12" s="30"/>
      <c r="G12" s="30"/>
      <c r="H12" s="30"/>
      <c r="I12" s="6"/>
      <c r="J12" s="6"/>
      <c r="K12" s="48"/>
      <c r="L12" s="283"/>
      <c r="M12" s="15"/>
      <c r="N12" s="15"/>
      <c r="O12" s="15"/>
      <c r="P12" s="15"/>
      <c r="Q12" s="15"/>
      <c r="R12" s="15"/>
      <c r="S12" s="283"/>
    </row>
    <row r="13" spans="1:26" ht="15" customHeight="1">
      <c r="A13" s="26"/>
      <c r="B13" s="31"/>
      <c r="C13" s="793"/>
      <c r="D13" s="793"/>
      <c r="E13" s="793"/>
      <c r="F13" s="801">
        <v>1</v>
      </c>
      <c r="G13" s="801"/>
      <c r="H13" s="793"/>
      <c r="I13" s="26"/>
      <c r="J13" s="26"/>
      <c r="K13" s="46"/>
      <c r="L13" s="26"/>
      <c r="M13" s="41"/>
      <c r="N13" s="41"/>
      <c r="O13" s="41"/>
      <c r="P13" s="41"/>
      <c r="Q13" s="41"/>
      <c r="R13" s="41"/>
      <c r="S13" s="26"/>
    </row>
    <row r="14" spans="1:26" s="23" customFormat="1" ht="15" customHeight="1">
      <c r="A14" s="283"/>
      <c r="B14" s="8"/>
      <c r="C14" s="793"/>
      <c r="D14" s="793"/>
      <c r="E14" s="793"/>
      <c r="F14" s="801"/>
      <c r="G14" s="801"/>
      <c r="H14" s="793"/>
      <c r="I14" s="15"/>
      <c r="J14" s="26"/>
      <c r="K14" s="46"/>
      <c r="L14" s="26"/>
      <c r="M14" s="851" t="str">
        <f>IF(O14="","","Heat loss")</f>
        <v>Heat loss</v>
      </c>
      <c r="N14" s="851"/>
      <c r="O14" s="939">
        <f>IF(F25=0,"",N40)</f>
        <v>3812.9246915000599</v>
      </c>
      <c r="P14" s="939"/>
      <c r="Q14" s="940" t="str">
        <f>IF(O14="","","kWh/m²a")</f>
        <v>kWh/m²a</v>
      </c>
      <c r="R14" s="940"/>
      <c r="S14" s="283"/>
      <c r="T14" s="22"/>
      <c r="U14" s="938" t="s">
        <v>178</v>
      </c>
      <c r="V14" s="938"/>
      <c r="W14" s="938"/>
      <c r="X14" s="938"/>
      <c r="Y14" s="22"/>
      <c r="Z14" s="22"/>
    </row>
    <row r="15" spans="1:26" ht="15" customHeight="1">
      <c r="A15" s="283"/>
      <c r="B15" s="8"/>
      <c r="C15" s="283"/>
      <c r="D15" s="283"/>
      <c r="E15" s="283"/>
      <c r="F15" s="315"/>
      <c r="G15" s="315"/>
      <c r="H15" s="283"/>
      <c r="I15" s="15"/>
      <c r="J15" s="15"/>
      <c r="K15" s="40"/>
      <c r="L15" s="15"/>
      <c r="M15" s="851"/>
      <c r="N15" s="851"/>
      <c r="O15" s="939"/>
      <c r="P15" s="939"/>
      <c r="Q15" s="940"/>
      <c r="R15" s="940"/>
      <c r="S15" s="283"/>
    </row>
    <row r="16" spans="1:26" ht="15" customHeight="1">
      <c r="A16" s="283"/>
      <c r="B16" s="8"/>
      <c r="C16" s="283"/>
      <c r="D16" s="283"/>
      <c r="E16" s="283"/>
      <c r="F16" s="315"/>
      <c r="G16" s="315"/>
      <c r="H16" s="283"/>
      <c r="I16" s="27"/>
      <c r="J16" s="27"/>
      <c r="K16" s="40"/>
      <c r="L16" s="27"/>
      <c r="M16" s="851"/>
      <c r="N16" s="851"/>
      <c r="O16" s="941">
        <f>IF(F25=0,"",O40)</f>
        <v>137.26528889400214</v>
      </c>
      <c r="P16" s="941"/>
      <c r="Q16" s="942" t="str">
        <f>IF(F25="","","€/m²a")</f>
        <v>€/m²a</v>
      </c>
      <c r="R16" s="942"/>
      <c r="S16" s="283"/>
    </row>
    <row r="17" spans="1:26" ht="15" customHeight="1">
      <c r="A17" s="26"/>
      <c r="B17" s="31"/>
      <c r="C17" s="793" t="s">
        <v>99</v>
      </c>
      <c r="D17" s="793"/>
      <c r="E17" s="793"/>
      <c r="F17" s="850" t="s">
        <v>328</v>
      </c>
      <c r="G17" s="850"/>
      <c r="H17" s="47">
        <f>IF(F17="","",VLOOKUP(F17,'Default values '!A2:B7,2,FALSE))</f>
        <v>0.9</v>
      </c>
      <c r="I17" s="27"/>
      <c r="J17" s="27"/>
      <c r="K17" s="46"/>
      <c r="L17" s="27"/>
      <c r="M17" s="851"/>
      <c r="N17" s="851"/>
      <c r="O17" s="941"/>
      <c r="P17" s="941"/>
      <c r="Q17" s="942"/>
      <c r="R17" s="942"/>
      <c r="S17" s="26"/>
    </row>
    <row r="18" spans="1:26" s="23" customFormat="1" ht="15" customHeight="1">
      <c r="A18" s="283"/>
      <c r="B18" s="8"/>
      <c r="C18" s="793"/>
      <c r="D18" s="793"/>
      <c r="E18" s="793"/>
      <c r="F18" s="850"/>
      <c r="G18" s="850"/>
      <c r="H18" s="15"/>
      <c r="I18" s="283"/>
      <c r="J18" s="283"/>
      <c r="K18" s="9"/>
      <c r="L18" s="283"/>
      <c r="M18" s="943" t="str">
        <f>IF(O14="","","Minimun Saving potential")</f>
        <v>Minimun Saving potential</v>
      </c>
      <c r="N18" s="943"/>
      <c r="O18" s="944">
        <f>IF(F25=0,"",P41)</f>
        <v>3104.6804877344848</v>
      </c>
      <c r="P18" s="944"/>
      <c r="Q18" s="898" t="str">
        <f>IF(F25="","","kWh/m²a")</f>
        <v>kWh/m²a</v>
      </c>
      <c r="R18" s="898"/>
      <c r="S18" s="283"/>
      <c r="T18" s="22"/>
      <c r="U18" s="22"/>
      <c r="V18" s="22"/>
      <c r="W18" s="22"/>
      <c r="X18" s="22"/>
      <c r="Y18" s="22"/>
      <c r="Z18" s="22"/>
    </row>
    <row r="19" spans="1:26" ht="15" customHeight="1">
      <c r="A19" s="283"/>
      <c r="B19" s="8"/>
      <c r="C19" s="15"/>
      <c r="D19" s="15"/>
      <c r="E19" s="15"/>
      <c r="F19" s="315"/>
      <c r="G19" s="315"/>
      <c r="H19" s="15"/>
      <c r="I19" s="283"/>
      <c r="J19" s="283"/>
      <c r="K19" s="9"/>
      <c r="L19" s="283"/>
      <c r="M19" s="943"/>
      <c r="N19" s="943"/>
      <c r="O19" s="944"/>
      <c r="P19" s="944"/>
      <c r="Q19" s="898"/>
      <c r="R19" s="898"/>
      <c r="S19" s="283"/>
    </row>
    <row r="20" spans="1:26" ht="15" customHeight="1">
      <c r="A20" s="283"/>
      <c r="B20" s="8"/>
      <c r="C20" s="283"/>
      <c r="D20" s="283"/>
      <c r="E20" s="283"/>
      <c r="F20" s="315"/>
      <c r="G20" s="315"/>
      <c r="H20" s="283"/>
      <c r="I20" s="283"/>
      <c r="J20" s="283"/>
      <c r="K20" s="9"/>
      <c r="L20" s="283"/>
      <c r="M20" s="943"/>
      <c r="N20" s="943"/>
      <c r="O20" s="945">
        <f>IF(N40=0,"",Q41)</f>
        <v>111.76849755844144</v>
      </c>
      <c r="P20" s="945"/>
      <c r="Q20" s="899" t="str">
        <f>IF(F25=0,"","€/m²a")</f>
        <v>€/m²a</v>
      </c>
      <c r="R20" s="899"/>
      <c r="S20" s="283"/>
    </row>
    <row r="21" spans="1:26" ht="15" customHeight="1">
      <c r="A21" s="26"/>
      <c r="B21" s="31"/>
      <c r="C21" s="793" t="s">
        <v>36</v>
      </c>
      <c r="D21" s="793"/>
      <c r="E21" s="793"/>
      <c r="F21" s="850">
        <v>15</v>
      </c>
      <c r="G21" s="850"/>
      <c r="H21" s="793" t="s">
        <v>22</v>
      </c>
      <c r="I21" s="26"/>
      <c r="J21" s="26"/>
      <c r="K21" s="46"/>
      <c r="L21" s="26"/>
      <c r="M21" s="943"/>
      <c r="N21" s="943"/>
      <c r="O21" s="945"/>
      <c r="P21" s="945"/>
      <c r="Q21" s="899"/>
      <c r="R21" s="899"/>
      <c r="S21" s="26"/>
    </row>
    <row r="22" spans="1:26" s="23" customFormat="1" ht="15" customHeight="1">
      <c r="A22" s="283"/>
      <c r="B22" s="8"/>
      <c r="C22" s="793"/>
      <c r="D22" s="793"/>
      <c r="E22" s="793"/>
      <c r="F22" s="850"/>
      <c r="G22" s="850"/>
      <c r="H22" s="793"/>
      <c r="I22" s="283"/>
      <c r="J22" s="283"/>
      <c r="K22" s="9"/>
      <c r="L22" s="283"/>
      <c r="M22" s="41"/>
      <c r="N22" s="41"/>
      <c r="O22" s="41"/>
      <c r="P22" s="41"/>
      <c r="Q22" s="41"/>
      <c r="R22" s="41"/>
      <c r="S22" s="283"/>
      <c r="T22" s="22"/>
      <c r="U22" s="22"/>
      <c r="V22" s="22"/>
      <c r="W22" s="22"/>
      <c r="X22" s="22"/>
      <c r="Y22" s="22"/>
      <c r="Z22" s="22"/>
    </row>
    <row r="23" spans="1:26" ht="15" customHeight="1">
      <c r="A23" s="283"/>
      <c r="B23" s="8"/>
      <c r="C23" s="283"/>
      <c r="D23" s="283"/>
      <c r="E23" s="283"/>
      <c r="F23" s="316"/>
      <c r="G23" s="316"/>
      <c r="H23" s="18"/>
      <c r="I23" s="19"/>
      <c r="J23" s="19"/>
      <c r="K23" s="40"/>
      <c r="L23" s="283"/>
      <c r="M23" s="45"/>
      <c r="N23" s="43"/>
      <c r="O23" s="43"/>
      <c r="P23" s="43"/>
      <c r="Q23" s="43"/>
      <c r="R23" s="43"/>
      <c r="S23" s="283"/>
    </row>
    <row r="24" spans="1:26" ht="15" customHeight="1">
      <c r="A24" s="283"/>
      <c r="B24" s="8"/>
      <c r="C24" s="283"/>
      <c r="D24" s="283"/>
      <c r="E24" s="283"/>
      <c r="F24" s="316"/>
      <c r="G24" s="316"/>
      <c r="H24" s="19"/>
      <c r="I24" s="19"/>
      <c r="J24" s="19"/>
      <c r="K24" s="40"/>
      <c r="L24" s="283"/>
      <c r="M24" s="49"/>
      <c r="N24" s="44"/>
      <c r="O24" s="44"/>
      <c r="P24" s="44"/>
      <c r="Q24" s="43"/>
      <c r="R24" s="43"/>
      <c r="S24" s="283"/>
    </row>
    <row r="25" spans="1:26" ht="15" customHeight="1">
      <c r="A25" s="26"/>
      <c r="B25" s="8"/>
      <c r="C25" s="793" t="s">
        <v>284</v>
      </c>
      <c r="D25" s="793"/>
      <c r="E25" s="793"/>
      <c r="F25" s="850">
        <v>65</v>
      </c>
      <c r="G25" s="850"/>
      <c r="H25" s="793" t="s">
        <v>22</v>
      </c>
      <c r="I25" s="19"/>
      <c r="J25" s="19"/>
      <c r="K25" s="40"/>
      <c r="L25" s="283"/>
      <c r="M25" s="946" t="str">
        <f>IF(F25="","",M47)</f>
        <v>Potential savings per m² if insulated. Total surface must be defined</v>
      </c>
      <c r="N25" s="946"/>
      <c r="O25" s="946"/>
      <c r="P25" s="946"/>
      <c r="Q25" s="43"/>
      <c r="R25" s="43"/>
      <c r="S25" s="283"/>
    </row>
    <row r="26" spans="1:26" ht="15" customHeight="1">
      <c r="A26" s="283"/>
      <c r="B26" s="8"/>
      <c r="C26" s="793"/>
      <c r="D26" s="793"/>
      <c r="E26" s="793"/>
      <c r="F26" s="850"/>
      <c r="G26" s="850"/>
      <c r="H26" s="793"/>
      <c r="I26" s="19"/>
      <c r="J26" s="19"/>
      <c r="K26" s="40"/>
      <c r="L26" s="283"/>
      <c r="M26" s="946"/>
      <c r="N26" s="946"/>
      <c r="O26" s="946"/>
      <c r="P26" s="946"/>
      <c r="Q26" s="43"/>
      <c r="R26" s="283"/>
      <c r="S26" s="283"/>
    </row>
    <row r="27" spans="1:26" ht="15" customHeight="1" thickBot="1">
      <c r="A27" s="283"/>
      <c r="B27" s="10"/>
      <c r="C27" s="11"/>
      <c r="D27" s="11"/>
      <c r="E27" s="11"/>
      <c r="F27" s="11"/>
      <c r="G27" s="11"/>
      <c r="H27" s="11"/>
      <c r="I27" s="11"/>
      <c r="J27" s="11"/>
      <c r="K27" s="12"/>
      <c r="L27" s="283"/>
      <c r="M27" s="946"/>
      <c r="N27" s="946"/>
      <c r="O27" s="946"/>
      <c r="P27" s="946"/>
      <c r="Q27" s="43"/>
      <c r="R27" s="283"/>
      <c r="S27" s="283"/>
    </row>
    <row r="28" spans="1:26" ht="16.5" thickTop="1" thickBot="1">
      <c r="A28" s="283"/>
      <c r="B28" s="283"/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3"/>
      <c r="N28" s="283"/>
      <c r="O28" s="283"/>
      <c r="P28" s="283"/>
      <c r="Q28" s="283"/>
      <c r="R28" s="283"/>
      <c r="S28" s="283"/>
    </row>
    <row r="29" spans="1:26" ht="15.75" thickTop="1">
      <c r="A29" s="28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283"/>
    </row>
    <row r="30" spans="1:26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</row>
    <row r="31" spans="1:26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03"/>
      <c r="R31" s="283"/>
      <c r="S31" s="283"/>
      <c r="T31" s="283"/>
    </row>
    <row r="32" spans="1:26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03"/>
      <c r="R32" s="283"/>
      <c r="S32" s="283"/>
      <c r="T32" s="283"/>
    </row>
    <row r="33" spans="1:24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03"/>
      <c r="R33" s="283"/>
      <c r="S33" s="283"/>
      <c r="T33" s="283"/>
    </row>
    <row r="34" spans="1:2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03"/>
      <c r="R34" s="283"/>
      <c r="S34" s="283"/>
      <c r="T34" s="283"/>
    </row>
    <row r="35" spans="1:24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</row>
    <row r="36" spans="1:24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</row>
    <row r="37" spans="1:24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</row>
    <row r="38" spans="1:24" customFormat="1" ht="98.45" customHeight="1">
      <c r="A38" s="65"/>
      <c r="B38" s="65"/>
      <c r="C38" s="73"/>
      <c r="D38" s="72"/>
      <c r="E38" s="72"/>
      <c r="F38" s="35"/>
      <c r="G38" s="16"/>
      <c r="H38" s="16"/>
      <c r="I38" s="16"/>
      <c r="J38" s="74"/>
      <c r="K38" s="74"/>
      <c r="L38" s="74"/>
      <c r="M38" s="75"/>
      <c r="N38" s="76" t="s">
        <v>31</v>
      </c>
      <c r="O38" s="76" t="s">
        <v>83</v>
      </c>
      <c r="P38" s="849"/>
      <c r="Q38" s="849"/>
      <c r="R38" s="77"/>
      <c r="S38" s="16"/>
      <c r="T38" s="16"/>
      <c r="U38" s="76"/>
      <c r="V38" s="76"/>
    </row>
    <row r="39" spans="1:24" s="34" customFormat="1" ht="43.15" customHeight="1">
      <c r="A39" s="802" t="s">
        <v>5</v>
      </c>
      <c r="B39" s="803"/>
      <c r="C39" s="286" t="s">
        <v>35</v>
      </c>
      <c r="D39" s="82" t="s">
        <v>40</v>
      </c>
      <c r="E39" s="82" t="s">
        <v>29</v>
      </c>
      <c r="F39" s="82" t="s">
        <v>30</v>
      </c>
      <c r="G39" s="84" t="s">
        <v>78</v>
      </c>
      <c r="H39" s="82" t="s">
        <v>59</v>
      </c>
      <c r="I39" s="82" t="s">
        <v>58</v>
      </c>
      <c r="J39" s="83" t="s">
        <v>13</v>
      </c>
      <c r="K39" s="83" t="s">
        <v>28</v>
      </c>
      <c r="L39" s="83" t="s">
        <v>26</v>
      </c>
      <c r="M39" s="78" t="s">
        <v>27</v>
      </c>
      <c r="N39" s="80" t="s">
        <v>84</v>
      </c>
      <c r="O39" s="80" t="s">
        <v>85</v>
      </c>
      <c r="P39" s="289" t="s">
        <v>60</v>
      </c>
      <c r="Q39" s="289"/>
      <c r="R39" s="857"/>
      <c r="S39" s="857"/>
      <c r="T39" s="857"/>
      <c r="U39" s="938" t="s">
        <v>298</v>
      </c>
      <c r="V39" s="938"/>
      <c r="W39" s="938"/>
      <c r="X39" s="938"/>
    </row>
    <row r="40" spans="1:24" customFormat="1" ht="18.75">
      <c r="A40" s="804" t="str">
        <f>F5</f>
        <v>Connexion tank21</v>
      </c>
      <c r="B40" s="804"/>
      <c r="C40" s="508">
        <f>F13</f>
        <v>1</v>
      </c>
      <c r="D40" s="255">
        <f>N8</f>
        <v>0</v>
      </c>
      <c r="E40" s="256">
        <f>F25</f>
        <v>65</v>
      </c>
      <c r="F40" s="256">
        <f>F21</f>
        <v>15</v>
      </c>
      <c r="G40" s="257">
        <f>H17</f>
        <v>0.9</v>
      </c>
      <c r="H40" s="256">
        <f>P5</f>
        <v>6000</v>
      </c>
      <c r="I40" s="257">
        <f>TBi!$L$27</f>
        <v>3.5999999999999997E-2</v>
      </c>
      <c r="J40" s="192">
        <f>IF(E40=0,"",$D$53*$G$40*(((E40+273)^4-(F40+273)^4)/(E40-F40)))</f>
        <v>6.2995349999294641</v>
      </c>
      <c r="K40" s="193">
        <f>IF(E40=0,"",1.74*ABS(E40-F40)^0.3333333)</f>
        <v>6.4102139717374005</v>
      </c>
      <c r="L40" s="192">
        <f>IF(E40=0,"",J40+K40)</f>
        <v>12.709748971666865</v>
      </c>
      <c r="M40" s="194">
        <f>IF(E40=0,"",L40*ABS(E40-F40))</f>
        <v>635.48744858334328</v>
      </c>
      <c r="N40" s="79">
        <f>IF(E40=0,"",M40*H40*C40/1000)</f>
        <v>3812.9246915000599</v>
      </c>
      <c r="O40" s="79">
        <f>IF(E40=0,"",N40*I40)</f>
        <v>137.26528889400214</v>
      </c>
      <c r="P40" s="121" t="s">
        <v>61</v>
      </c>
      <c r="Q40" s="121" t="s">
        <v>23</v>
      </c>
      <c r="R40" s="858"/>
      <c r="S40" s="858"/>
      <c r="T40" s="858"/>
    </row>
    <row r="41" spans="1:24" s="16" customFormat="1">
      <c r="A41" s="804" t="s">
        <v>290</v>
      </c>
      <c r="B41" s="804"/>
      <c r="C41" s="508">
        <f t="shared" ref="C41:I41" si="0">C40</f>
        <v>1</v>
      </c>
      <c r="D41" s="255">
        <f t="shared" si="0"/>
        <v>0</v>
      </c>
      <c r="E41" s="258">
        <f t="shared" si="0"/>
        <v>65</v>
      </c>
      <c r="F41" s="256">
        <f t="shared" si="0"/>
        <v>15</v>
      </c>
      <c r="G41" s="257">
        <f t="shared" si="0"/>
        <v>0.9</v>
      </c>
      <c r="H41" s="256">
        <f t="shared" si="0"/>
        <v>6000</v>
      </c>
      <c r="I41" s="257">
        <f t="shared" si="0"/>
        <v>3.5999999999999997E-2</v>
      </c>
      <c r="J41" s="192">
        <f>IF(E41=0,"",$D$53*G41*(((E41+273)^4-(F41+273)^4)/(E41-F41)))</f>
        <v>6.2995349999294641</v>
      </c>
      <c r="K41" s="193">
        <f>IF(E41=0,"",1.74*ABS(E41-F41)^0.3333333)</f>
        <v>6.4102139717374005</v>
      </c>
      <c r="L41" s="192">
        <f>IF(E41=0,"",J41+K41)</f>
        <v>12.709748971666865</v>
      </c>
      <c r="M41" s="194">
        <f>ABS(E41-F41)/((E47+E48))</f>
        <v>118.04070062759585</v>
      </c>
      <c r="N41" s="259">
        <f>IF(E41=0,"",M41*H41*C41/1000)</f>
        <v>708.24420376557509</v>
      </c>
      <c r="O41" s="259">
        <f>IF(E41=0,"",N41*I41)</f>
        <v>25.496791335560701</v>
      </c>
      <c r="P41" s="79">
        <f>N40-N41</f>
        <v>3104.6804877344848</v>
      </c>
      <c r="Q41" s="79">
        <f>O40-O41</f>
        <v>111.76849755844144</v>
      </c>
      <c r="R41" s="36"/>
      <c r="S41" s="36"/>
      <c r="T41" s="36"/>
    </row>
    <row r="42" spans="1:24" s="16" customFormat="1" ht="31.5">
      <c r="A42" s="56"/>
      <c r="B42" s="56"/>
      <c r="C42" s="238"/>
      <c r="D42" s="239"/>
      <c r="E42" s="240"/>
      <c r="F42" s="241"/>
      <c r="G42" s="242"/>
      <c r="H42" s="243"/>
      <c r="I42" s="242"/>
      <c r="J42" s="58"/>
      <c r="K42" s="59"/>
      <c r="L42" s="58"/>
      <c r="M42" s="78" t="s">
        <v>166</v>
      </c>
      <c r="N42" s="285"/>
      <c r="O42" s="285"/>
      <c r="P42" s="123"/>
      <c r="Q42" s="123"/>
      <c r="R42" s="36"/>
      <c r="S42" s="36"/>
      <c r="T42" s="36"/>
    </row>
    <row r="43" spans="1:24" s="16" customFormat="1" ht="18.75">
      <c r="A43" s="62"/>
      <c r="B43" s="56"/>
      <c r="C43" s="936" t="s">
        <v>51</v>
      </c>
      <c r="D43" s="937"/>
      <c r="E43" s="287">
        <f>(E40+F40)/2</f>
        <v>40</v>
      </c>
      <c r="F43" s="261"/>
      <c r="G43" s="57"/>
      <c r="H43" s="57"/>
      <c r="I43" s="57"/>
      <c r="J43" s="58"/>
      <c r="K43" s="59"/>
      <c r="L43" s="58"/>
      <c r="M43" s="75"/>
      <c r="N43" s="75"/>
      <c r="O43" s="75"/>
      <c r="P43" s="288"/>
      <c r="Q43" s="288"/>
      <c r="R43" s="36"/>
      <c r="S43" s="36"/>
      <c r="T43" s="36"/>
    </row>
    <row r="44" spans="1:24" s="16" customFormat="1" ht="16.149999999999999" customHeight="1">
      <c r="A44" s="56"/>
      <c r="B44" s="56"/>
      <c r="C44" s="818" t="s">
        <v>52</v>
      </c>
      <c r="D44" s="819"/>
      <c r="E44" s="260">
        <f>C57+C58*E43+C59*E43^2+C60*E43^3</f>
        <v>3.8658217599999996E-2</v>
      </c>
      <c r="F44" s="182"/>
      <c r="G44" s="57"/>
      <c r="H44" s="57"/>
      <c r="I44" s="57"/>
      <c r="J44" s="58"/>
      <c r="K44" s="59"/>
      <c r="L44" s="58"/>
      <c r="M44" s="60"/>
      <c r="N44" s="129"/>
      <c r="O44" s="129"/>
      <c r="P44" s="123"/>
      <c r="Q44" s="123"/>
      <c r="R44" s="36"/>
      <c r="S44" s="36"/>
      <c r="T44" s="36"/>
      <c r="U44" s="16" t="s">
        <v>168</v>
      </c>
    </row>
    <row r="45" spans="1:24" s="16" customFormat="1" ht="16.899999999999999" customHeight="1" thickBot="1">
      <c r="A45" s="56"/>
      <c r="B45" s="56"/>
      <c r="C45" s="820" t="s">
        <v>56</v>
      </c>
      <c r="D45" s="821"/>
      <c r="E45" s="172">
        <f>E44*C56</f>
        <v>5.7987326399999997E-2</v>
      </c>
      <c r="F45" s="182"/>
      <c r="G45" s="57"/>
      <c r="H45" s="57"/>
      <c r="I45" s="57"/>
      <c r="J45" s="58"/>
      <c r="K45" s="59"/>
      <c r="L45" s="58"/>
      <c r="M45" s="60"/>
      <c r="N45" s="129"/>
      <c r="O45" s="129"/>
      <c r="P45" s="123"/>
      <c r="Q45" s="123"/>
      <c r="R45" s="36"/>
      <c r="S45" s="36"/>
      <c r="T45" s="36"/>
    </row>
    <row r="46" spans="1:24" s="16" customFormat="1" ht="15.75" thickBot="1">
      <c r="A46" s="56"/>
      <c r="B46" s="56"/>
      <c r="C46" s="822" t="s">
        <v>54</v>
      </c>
      <c r="D46" s="823"/>
      <c r="E46" s="262">
        <f>IF((D40-F40)&lt;F57,G57/1000,IF((D40-F40)&lt;F58,G58/1000,IF((D40-F40)&lt;F59,(G59/1000),G60/1000)))</f>
        <v>0.02</v>
      </c>
      <c r="F46" s="59" t="s">
        <v>46</v>
      </c>
      <c r="G46" s="57"/>
      <c r="H46" s="57"/>
      <c r="I46" s="57"/>
      <c r="J46" s="58"/>
      <c r="K46" s="59"/>
      <c r="L46" s="58"/>
      <c r="M46" s="60"/>
      <c r="N46" s="123"/>
      <c r="O46" s="123"/>
      <c r="P46" s="129"/>
      <c r="Q46" s="129"/>
      <c r="R46" s="36"/>
      <c r="S46" s="36"/>
      <c r="T46" s="36"/>
    </row>
    <row r="47" spans="1:24" s="16" customFormat="1">
      <c r="A47" s="56"/>
      <c r="B47" s="56"/>
      <c r="C47" s="827" t="s">
        <v>159</v>
      </c>
      <c r="D47" s="828"/>
      <c r="E47" s="263">
        <f>1/L40</f>
        <v>7.8679760098271351E-2</v>
      </c>
      <c r="F47" s="58" t="s">
        <v>57</v>
      </c>
      <c r="G47" s="57"/>
      <c r="H47" s="57"/>
      <c r="I47" s="57"/>
      <c r="J47" s="58"/>
      <c r="K47" s="59"/>
      <c r="L47" s="58"/>
      <c r="M47" s="927" t="s">
        <v>218</v>
      </c>
      <c r="N47" s="928"/>
      <c r="O47" s="928"/>
      <c r="P47" s="928"/>
      <c r="Q47" s="928"/>
      <c r="R47" s="929"/>
      <c r="S47" s="36"/>
      <c r="T47" s="36"/>
    </row>
    <row r="48" spans="1:24" s="16" customFormat="1">
      <c r="A48" s="56"/>
      <c r="B48" s="56"/>
      <c r="C48" s="827" t="s">
        <v>165</v>
      </c>
      <c r="D48" s="828"/>
      <c r="E48" s="264">
        <f>E46/E45</f>
        <v>0.34490295106966684</v>
      </c>
      <c r="F48" s="59"/>
      <c r="G48" s="57"/>
      <c r="H48" s="57"/>
      <c r="I48" s="57"/>
      <c r="J48" s="58"/>
      <c r="K48" s="59"/>
      <c r="L48" s="58"/>
      <c r="M48" s="930"/>
      <c r="N48" s="931"/>
      <c r="O48" s="931"/>
      <c r="P48" s="931"/>
      <c r="Q48" s="931"/>
      <c r="R48" s="932"/>
      <c r="S48" s="334" t="s">
        <v>180</v>
      </c>
      <c r="T48" s="334" t="s">
        <v>179</v>
      </c>
    </row>
    <row r="49" spans="1:21" s="16" customFormat="1" ht="15.75" thickBot="1">
      <c r="A49" s="56"/>
      <c r="B49" s="56"/>
      <c r="C49" s="829" t="s">
        <v>113</v>
      </c>
      <c r="D49" s="830"/>
      <c r="E49" s="265">
        <f>M40-(10000*D63/I40/H40)</f>
        <v>561.41337450926926</v>
      </c>
      <c r="F49" s="16" t="s">
        <v>108</v>
      </c>
      <c r="G49" s="57"/>
      <c r="H49" s="57"/>
      <c r="I49" s="57"/>
      <c r="J49" s="58"/>
      <c r="K49" s="59"/>
      <c r="L49" s="58"/>
      <c r="M49" s="933"/>
      <c r="N49" s="934"/>
      <c r="O49" s="934"/>
      <c r="P49" s="934"/>
      <c r="Q49" s="934"/>
      <c r="R49" s="935"/>
      <c r="S49" s="36"/>
      <c r="T49" s="36" t="s">
        <v>203</v>
      </c>
    </row>
    <row r="50" spans="1:21" s="16" customFormat="1">
      <c r="A50" s="56"/>
      <c r="B50" s="56"/>
      <c r="C50" s="56"/>
      <c r="D50" s="57"/>
      <c r="E50" s="58"/>
      <c r="F50" s="57"/>
      <c r="G50" s="57"/>
      <c r="H50" s="57"/>
      <c r="I50" s="57"/>
      <c r="J50" s="58"/>
      <c r="K50" s="59"/>
      <c r="L50" s="58"/>
      <c r="M50" s="60"/>
      <c r="N50" s="123"/>
      <c r="O50" s="123"/>
      <c r="P50" s="129"/>
      <c r="Q50" s="129"/>
      <c r="R50" s="36"/>
      <c r="S50" s="36"/>
      <c r="T50" s="36"/>
    </row>
    <row r="51" spans="1:21" s="16" customFormat="1" ht="15.75" thickBot="1">
      <c r="A51" s="832" t="s">
        <v>109</v>
      </c>
      <c r="B51" s="832"/>
      <c r="C51" s="832"/>
      <c r="D51" s="832"/>
      <c r="E51" s="832"/>
      <c r="F51" s="832"/>
      <c r="G51" s="832"/>
      <c r="H51" s="832"/>
      <c r="I51" s="832"/>
      <c r="J51" s="832"/>
      <c r="K51" s="832"/>
      <c r="L51" s="832"/>
      <c r="M51" s="832"/>
      <c r="N51" s="832"/>
      <c r="O51" s="832"/>
      <c r="P51" s="832"/>
      <c r="Q51" s="832"/>
      <c r="R51" s="832"/>
      <c r="S51" s="832"/>
      <c r="T51" s="832"/>
      <c r="U51" s="16" t="s">
        <v>82</v>
      </c>
    </row>
    <row r="52" spans="1:21" s="2" customFormat="1" ht="15.75" thickBot="1">
      <c r="A52" s="805" t="s">
        <v>162</v>
      </c>
      <c r="B52" s="806"/>
      <c r="C52" s="806"/>
      <c r="D52" s="254">
        <v>3.1415999999999999</v>
      </c>
      <c r="E52" s="132"/>
      <c r="F52" s="132"/>
      <c r="G52" s="132"/>
      <c r="H52" s="132"/>
      <c r="I52" s="132"/>
      <c r="J52" s="133"/>
      <c r="K52" s="134"/>
      <c r="L52" s="133"/>
      <c r="M52" s="135"/>
      <c r="N52" s="150"/>
      <c r="O52" s="150"/>
      <c r="P52" s="137"/>
      <c r="Q52" s="137"/>
      <c r="R52" s="138"/>
      <c r="S52" s="138"/>
      <c r="T52" s="138"/>
    </row>
    <row r="53" spans="1:21" s="2" customFormat="1" ht="15.75" thickBot="1">
      <c r="A53" s="831" t="s">
        <v>80</v>
      </c>
      <c r="B53" s="806"/>
      <c r="C53" s="806"/>
      <c r="D53" s="271">
        <v>5.6703669999999997E-8</v>
      </c>
      <c r="E53" s="132"/>
      <c r="F53" s="132"/>
      <c r="G53" s="132"/>
      <c r="H53" s="132"/>
      <c r="I53" s="132"/>
      <c r="J53" s="133"/>
      <c r="K53" s="134"/>
      <c r="L53" s="133"/>
      <c r="M53" s="135"/>
      <c r="N53" s="150"/>
      <c r="O53" s="150"/>
      <c r="P53" s="137"/>
      <c r="Q53" s="137"/>
      <c r="R53" s="138"/>
      <c r="S53" s="138"/>
      <c r="T53" s="138"/>
    </row>
    <row r="54" spans="1:21" s="2" customFormat="1" ht="15.75" thickBot="1">
      <c r="A54" s="120"/>
      <c r="B54" s="272"/>
      <c r="C54" s="272"/>
      <c r="D54" s="149"/>
      <c r="E54" s="132"/>
      <c r="F54" s="132"/>
      <c r="G54" s="132"/>
      <c r="H54" s="132"/>
      <c r="I54" s="132"/>
      <c r="J54" s="133"/>
      <c r="K54" s="134"/>
      <c r="L54" s="133"/>
      <c r="M54" s="135"/>
      <c r="N54" s="150"/>
      <c r="O54" s="150"/>
      <c r="P54" s="137"/>
      <c r="Q54" s="137"/>
      <c r="R54" s="138"/>
      <c r="S54" s="138"/>
      <c r="T54" s="138"/>
    </row>
    <row r="55" spans="1:21" s="2" customFormat="1" ht="15.75" thickBot="1">
      <c r="A55" s="131"/>
      <c r="B55" s="833" t="s">
        <v>110</v>
      </c>
      <c r="C55" s="834"/>
      <c r="D55" s="131"/>
      <c r="E55" s="835" t="s">
        <v>112</v>
      </c>
      <c r="F55" s="836"/>
      <c r="G55" s="837"/>
      <c r="H55" s="132"/>
      <c r="I55" s="132"/>
      <c r="J55" s="133"/>
      <c r="K55" s="134"/>
      <c r="L55" s="133"/>
      <c r="M55" s="135"/>
      <c r="N55" s="150"/>
      <c r="O55" s="150"/>
      <c r="P55" s="137"/>
      <c r="Q55" s="137"/>
      <c r="R55" s="138"/>
      <c r="S55" s="138"/>
      <c r="T55" s="138"/>
    </row>
    <row r="56" spans="1:21" s="2" customFormat="1" ht="15.75" thickBot="1">
      <c r="A56" s="120"/>
      <c r="B56" s="92" t="s">
        <v>53</v>
      </c>
      <c r="C56" s="250">
        <v>1.5</v>
      </c>
      <c r="D56" s="132"/>
      <c r="E56" s="69"/>
      <c r="F56" s="70" t="s">
        <v>65</v>
      </c>
      <c r="G56" s="99" t="s">
        <v>286</v>
      </c>
      <c r="H56" s="99" t="s">
        <v>287</v>
      </c>
      <c r="I56" s="133"/>
      <c r="J56" s="134"/>
      <c r="K56" s="133"/>
      <c r="L56" s="135"/>
      <c r="M56" s="150"/>
      <c r="N56" s="150"/>
      <c r="O56" s="137"/>
      <c r="P56" s="137"/>
      <c r="Q56" s="138"/>
      <c r="R56" s="138"/>
      <c r="S56" s="138"/>
      <c r="T56" s="139"/>
    </row>
    <row r="57" spans="1:21" s="2" customFormat="1">
      <c r="A57" s="120"/>
      <c r="B57" s="67" t="s">
        <v>47</v>
      </c>
      <c r="C57" s="90">
        <f>0.0338</f>
        <v>3.3799999999999997E-2</v>
      </c>
      <c r="D57" s="132"/>
      <c r="E57" s="71" t="s">
        <v>81</v>
      </c>
      <c r="F57" s="237">
        <v>80</v>
      </c>
      <c r="G57" s="98">
        <v>20</v>
      </c>
      <c r="H57" s="98">
        <v>100</v>
      </c>
      <c r="I57" s="133"/>
      <c r="J57" s="134"/>
      <c r="K57" s="133"/>
      <c r="L57" s="135"/>
      <c r="M57" s="150"/>
      <c r="N57" s="150"/>
      <c r="O57" s="137"/>
      <c r="P57" s="137"/>
      <c r="Q57" s="138"/>
      <c r="R57" s="138"/>
      <c r="S57" s="138"/>
      <c r="T57" s="139"/>
    </row>
    <row r="58" spans="1:21" s="2" customFormat="1">
      <c r="A58" s="120"/>
      <c r="B58" s="67" t="s">
        <v>48</v>
      </c>
      <c r="C58" s="90">
        <v>1.1730000000000001E-4</v>
      </c>
      <c r="D58" s="132"/>
      <c r="E58" s="71" t="s">
        <v>81</v>
      </c>
      <c r="F58" s="237">
        <v>150</v>
      </c>
      <c r="G58" s="98">
        <v>30</v>
      </c>
      <c r="H58" s="98">
        <v>180</v>
      </c>
      <c r="I58" s="133"/>
      <c r="J58" s="134"/>
      <c r="K58" s="133"/>
      <c r="L58" s="135"/>
      <c r="M58" s="150"/>
      <c r="N58" s="150"/>
      <c r="O58" s="137"/>
      <c r="P58" s="137"/>
      <c r="Q58" s="138"/>
      <c r="R58" s="138"/>
      <c r="S58" s="138"/>
      <c r="T58" s="139"/>
    </row>
    <row r="59" spans="1:21" s="2" customFormat="1">
      <c r="A59" s="120"/>
      <c r="B59" s="67" t="s">
        <v>49</v>
      </c>
      <c r="C59" s="90">
        <v>7.5450000000000004E-8</v>
      </c>
      <c r="D59" s="132"/>
      <c r="E59" s="71" t="s">
        <v>81</v>
      </c>
      <c r="F59" s="237">
        <v>250</v>
      </c>
      <c r="G59" s="98">
        <v>50</v>
      </c>
      <c r="H59" s="98">
        <v>250</v>
      </c>
      <c r="I59" s="133"/>
      <c r="J59" s="134"/>
      <c r="K59" s="133"/>
      <c r="L59" s="135"/>
      <c r="M59" s="150"/>
      <c r="N59" s="150"/>
      <c r="O59" s="137"/>
      <c r="P59" s="137"/>
      <c r="Q59" s="138"/>
      <c r="R59" s="138"/>
      <c r="S59" s="138"/>
      <c r="T59" s="139"/>
    </row>
    <row r="60" spans="1:21" customFormat="1" ht="15.75" thickBot="1">
      <c r="A60" s="66"/>
      <c r="B60" s="68" t="s">
        <v>50</v>
      </c>
      <c r="C60" s="91">
        <v>7.109E-10</v>
      </c>
      <c r="D60" s="132"/>
      <c r="E60" s="71" t="s">
        <v>81</v>
      </c>
      <c r="F60" s="237"/>
      <c r="G60" s="98">
        <v>80</v>
      </c>
      <c r="H60" s="98">
        <v>300</v>
      </c>
      <c r="I60" s="135"/>
      <c r="J60" s="139"/>
      <c r="K60" s="139"/>
      <c r="L60" s="137"/>
      <c r="M60" s="137"/>
      <c r="N60" s="139"/>
      <c r="O60" s="137"/>
      <c r="P60" s="140"/>
      <c r="Q60" s="138"/>
      <c r="R60" s="138"/>
      <c r="S60" s="138"/>
      <c r="T60" s="139"/>
    </row>
    <row r="61" spans="1:21" customFormat="1">
      <c r="A61" s="66"/>
      <c r="B61" s="148"/>
      <c r="C61" s="149"/>
      <c r="D61" s="132"/>
      <c r="E61" s="132"/>
      <c r="F61" s="133"/>
      <c r="G61" s="134"/>
      <c r="H61" s="133"/>
      <c r="I61" s="135"/>
      <c r="J61" s="139"/>
      <c r="K61" s="139"/>
      <c r="L61" s="137"/>
      <c r="M61" s="137"/>
      <c r="N61" s="139"/>
      <c r="O61" s="826" t="s">
        <v>142</v>
      </c>
      <c r="P61" s="826"/>
      <c r="Q61" s="826"/>
      <c r="R61" s="826"/>
      <c r="S61" s="826"/>
      <c r="T61" s="826"/>
    </row>
    <row r="62" spans="1:21" customFormat="1">
      <c r="A62" s="66"/>
      <c r="B62" s="152"/>
      <c r="C62" s="153"/>
      <c r="D62" s="154"/>
      <c r="E62" s="152"/>
      <c r="F62" s="152"/>
      <c r="G62" s="152"/>
      <c r="H62" s="133"/>
      <c r="I62" s="135"/>
      <c r="J62" s="139"/>
      <c r="K62" s="139"/>
      <c r="L62" s="137"/>
      <c r="M62" s="137"/>
      <c r="N62" s="139"/>
      <c r="O62" s="847" t="s">
        <v>143</v>
      </c>
      <c r="P62" s="847"/>
      <c r="Q62" s="847"/>
      <c r="R62" s="234">
        <v>80</v>
      </c>
      <c r="S62" s="196" t="s">
        <v>62</v>
      </c>
      <c r="T62" s="197"/>
    </row>
    <row r="63" spans="1:21" customFormat="1">
      <c r="A63" s="266"/>
      <c r="B63" s="267" t="s">
        <v>136</v>
      </c>
      <c r="C63" s="268"/>
      <c r="D63" s="269">
        <v>1.6</v>
      </c>
      <c r="E63" s="152"/>
      <c r="F63" s="152"/>
      <c r="G63" s="152"/>
      <c r="H63" s="133"/>
      <c r="I63" s="135"/>
      <c r="J63" s="139"/>
      <c r="K63" s="90"/>
      <c r="L63" s="137"/>
      <c r="M63" s="137"/>
      <c r="N63" s="139"/>
      <c r="O63" s="847" t="s">
        <v>144</v>
      </c>
      <c r="P63" s="847"/>
      <c r="Q63" s="847"/>
      <c r="R63" s="234">
        <v>250</v>
      </c>
      <c r="S63" s="196" t="s">
        <v>62</v>
      </c>
      <c r="T63" s="197"/>
    </row>
    <row r="64" spans="1:21" customFormat="1">
      <c r="A64" s="266"/>
      <c r="B64" s="267" t="s">
        <v>137</v>
      </c>
      <c r="C64" s="268"/>
      <c r="D64" s="269">
        <v>5</v>
      </c>
      <c r="E64" s="152"/>
      <c r="F64" s="152"/>
      <c r="G64" s="152"/>
      <c r="H64" s="133"/>
      <c r="I64" s="135"/>
      <c r="J64" s="139"/>
      <c r="K64" s="139"/>
      <c r="L64" s="137"/>
      <c r="M64" s="137"/>
      <c r="N64" s="139"/>
      <c r="O64" s="847" t="s">
        <v>64</v>
      </c>
      <c r="P64" s="847"/>
      <c r="Q64" s="847"/>
      <c r="R64" s="234">
        <v>5</v>
      </c>
      <c r="S64" s="196" t="s">
        <v>63</v>
      </c>
      <c r="T64" s="197"/>
    </row>
    <row r="65" spans="1:27" customFormat="1">
      <c r="A65" s="848" t="s">
        <v>86</v>
      </c>
      <c r="B65" s="848"/>
      <c r="C65" s="848"/>
      <c r="D65" s="270">
        <v>55</v>
      </c>
      <c r="E65" s="156" t="s">
        <v>22</v>
      </c>
      <c r="F65" s="133"/>
      <c r="G65" s="134"/>
      <c r="H65" s="133"/>
      <c r="I65" s="135"/>
      <c r="J65" s="139"/>
      <c r="K65" s="139"/>
      <c r="L65" s="137"/>
      <c r="M65" s="137"/>
      <c r="N65" s="139"/>
      <c r="O65" s="847" t="s">
        <v>146</v>
      </c>
      <c r="P65" s="847"/>
      <c r="Q65" s="847"/>
      <c r="R65" s="235">
        <f>0.1*R62/R64</f>
        <v>1.6</v>
      </c>
      <c r="S65" s="196"/>
      <c r="T65" s="197"/>
      <c r="U65" t="s">
        <v>114</v>
      </c>
    </row>
    <row r="66" spans="1:27" customFormat="1">
      <c r="A66" s="66"/>
      <c r="B66" s="148"/>
      <c r="C66" s="149"/>
      <c r="D66" s="132"/>
      <c r="E66" s="132"/>
      <c r="F66" s="133"/>
      <c r="G66" s="134"/>
      <c r="H66" s="133"/>
      <c r="I66" s="135"/>
      <c r="J66" s="139"/>
      <c r="K66" s="139"/>
      <c r="L66" s="137"/>
      <c r="M66" s="137"/>
      <c r="N66" s="139"/>
      <c r="O66" s="847" t="s">
        <v>147</v>
      </c>
      <c r="P66" s="847"/>
      <c r="Q66" s="847"/>
      <c r="R66" s="236">
        <f>0.1*R63/R64</f>
        <v>5</v>
      </c>
      <c r="S66" s="198"/>
      <c r="T66" s="197"/>
    </row>
    <row r="67" spans="1:27" customFormat="1">
      <c r="A67" s="66"/>
      <c r="B67" s="148"/>
      <c r="C67" s="149"/>
      <c r="D67" s="132"/>
      <c r="E67" s="132"/>
      <c r="F67" s="133"/>
      <c r="G67" s="134"/>
      <c r="H67" s="133"/>
      <c r="I67" s="135"/>
      <c r="J67" s="139"/>
      <c r="K67" s="139"/>
      <c r="L67" s="137"/>
      <c r="M67" s="137"/>
      <c r="N67" s="139"/>
      <c r="O67" s="251"/>
      <c r="P67" s="252"/>
      <c r="Q67" s="253"/>
      <c r="R67" s="253"/>
      <c r="S67" s="253"/>
      <c r="T67" s="197"/>
    </row>
    <row r="68" spans="1:27">
      <c r="A68" s="846" t="s">
        <v>42</v>
      </c>
      <c r="B68" s="846"/>
      <c r="C68" s="846"/>
      <c r="D68" s="846"/>
      <c r="E68" s="846"/>
      <c r="F68" s="846"/>
      <c r="G68" s="846"/>
      <c r="H68" s="846"/>
      <c r="I68" s="846"/>
      <c r="J68" s="846"/>
      <c r="K68" s="846"/>
      <c r="L68" s="846"/>
      <c r="M68" s="846"/>
      <c r="N68" s="846"/>
      <c r="O68" s="846"/>
      <c r="P68" s="846"/>
      <c r="Q68" s="846"/>
      <c r="R68" s="846"/>
      <c r="S68" s="846"/>
      <c r="T68" s="846"/>
      <c r="AA68" s="16"/>
    </row>
    <row r="70" spans="1:27" ht="23.25">
      <c r="A70" s="86" t="s">
        <v>296</v>
      </c>
    </row>
    <row r="71" spans="1:27" ht="23.25">
      <c r="A71" s="86"/>
    </row>
    <row r="72" spans="1:27" ht="23.25">
      <c r="A72" s="86"/>
    </row>
    <row r="73" spans="1:27" ht="23.25">
      <c r="A73" s="86"/>
      <c r="W73" s="17"/>
      <c r="X73" s="17"/>
      <c r="Y73" s="17"/>
      <c r="Z73" s="17"/>
    </row>
    <row r="74" spans="1:27" ht="23.25">
      <c r="A74" s="86"/>
      <c r="W74" s="17"/>
      <c r="X74" s="17"/>
      <c r="Y74" s="17"/>
      <c r="Z74" s="17"/>
    </row>
    <row r="75" spans="1:27">
      <c r="A75" s="87"/>
    </row>
    <row r="76" spans="1:27" ht="23.25">
      <c r="A76" s="88"/>
    </row>
    <row r="77" spans="1:27">
      <c r="A77" s="87"/>
    </row>
    <row r="78" spans="1:27" ht="23.25">
      <c r="A78" s="85"/>
    </row>
    <row r="79" spans="1:27" ht="23.25">
      <c r="A79" s="85"/>
    </row>
    <row r="80" spans="1:27" ht="23.25">
      <c r="A80" s="85"/>
    </row>
    <row r="81" spans="1:20" ht="23.25">
      <c r="A81" s="86"/>
    </row>
    <row r="82" spans="1:20" ht="23.25">
      <c r="A82" s="64"/>
    </row>
    <row r="83" spans="1:20" ht="23.25">
      <c r="A83" s="64"/>
    </row>
    <row r="94" spans="1:20" ht="45">
      <c r="A94" s="802" t="s">
        <v>5</v>
      </c>
      <c r="B94" s="803"/>
      <c r="C94" s="494" t="s">
        <v>35</v>
      </c>
      <c r="D94" s="82" t="s">
        <v>40</v>
      </c>
      <c r="E94" s="82" t="s">
        <v>29</v>
      </c>
      <c r="F94" s="82" t="s">
        <v>30</v>
      </c>
      <c r="G94" s="84" t="s">
        <v>78</v>
      </c>
      <c r="H94" s="82" t="s">
        <v>59</v>
      </c>
      <c r="I94" s="82" t="s">
        <v>58</v>
      </c>
      <c r="J94" s="83" t="s">
        <v>13</v>
      </c>
      <c r="K94" s="83" t="s">
        <v>28</v>
      </c>
      <c r="L94" s="83" t="s">
        <v>26</v>
      </c>
      <c r="M94" s="78" t="s">
        <v>27</v>
      </c>
      <c r="N94" s="80" t="s">
        <v>84</v>
      </c>
      <c r="O94" s="80" t="s">
        <v>85</v>
      </c>
      <c r="P94" s="491" t="s">
        <v>60</v>
      </c>
      <c r="Q94" s="491"/>
      <c r="R94" s="857"/>
      <c r="S94" s="857"/>
      <c r="T94" s="857"/>
    </row>
    <row r="95" spans="1:20" ht="18.75">
      <c r="A95" s="804"/>
      <c r="B95" s="804"/>
      <c r="C95" s="508"/>
      <c r="D95" s="255"/>
      <c r="E95" s="256"/>
      <c r="F95" s="256"/>
      <c r="G95" s="257"/>
      <c r="H95" s="256"/>
      <c r="I95" s="257"/>
      <c r="J95" s="505">
        <v>1</v>
      </c>
      <c r="K95" s="505">
        <v>2</v>
      </c>
      <c r="L95" s="505">
        <v>3</v>
      </c>
      <c r="M95" s="505">
        <v>4</v>
      </c>
      <c r="N95" s="507">
        <v>5</v>
      </c>
      <c r="O95" s="507">
        <v>6</v>
      </c>
      <c r="P95" s="121" t="s">
        <v>61</v>
      </c>
      <c r="Q95" s="121" t="s">
        <v>23</v>
      </c>
      <c r="R95" s="858"/>
      <c r="S95" s="858"/>
      <c r="T95" s="858"/>
    </row>
    <row r="96" spans="1:20" ht="15.75">
      <c r="A96" s="804" t="s">
        <v>288</v>
      </c>
      <c r="B96" s="804"/>
      <c r="C96" s="508"/>
      <c r="D96" s="255"/>
      <c r="E96" s="258"/>
      <c r="F96" s="256"/>
      <c r="G96" s="257"/>
      <c r="H96" s="256"/>
      <c r="I96" s="257"/>
      <c r="J96" s="505">
        <v>1</v>
      </c>
      <c r="K96" s="505">
        <v>2</v>
      </c>
      <c r="L96" s="505">
        <v>3</v>
      </c>
      <c r="M96" s="259">
        <v>20</v>
      </c>
      <c r="N96" s="259">
        <v>5</v>
      </c>
      <c r="O96" s="259">
        <v>6</v>
      </c>
      <c r="P96" s="507">
        <v>26</v>
      </c>
      <c r="Q96" s="507">
        <v>28</v>
      </c>
      <c r="R96" s="487"/>
      <c r="S96" s="487"/>
      <c r="T96" s="487"/>
    </row>
    <row r="97" spans="1:20" ht="31.5">
      <c r="A97" s="56"/>
      <c r="B97" s="56"/>
      <c r="C97" s="238"/>
      <c r="D97" s="239"/>
      <c r="E97" s="240"/>
      <c r="F97" s="241"/>
      <c r="G97" s="242"/>
      <c r="H97" s="243"/>
      <c r="I97" s="242"/>
      <c r="J97" s="58"/>
      <c r="K97" s="59"/>
      <c r="L97" s="58"/>
      <c r="M97" s="78" t="s">
        <v>166</v>
      </c>
      <c r="N97" s="492"/>
      <c r="O97" s="492"/>
      <c r="P97" s="123"/>
      <c r="Q97" s="123"/>
      <c r="R97" s="487"/>
      <c r="S97" s="487"/>
      <c r="T97" s="487"/>
    </row>
    <row r="98" spans="1:20" ht="18.75">
      <c r="A98" s="62"/>
      <c r="B98" s="56"/>
      <c r="C98" s="936" t="s">
        <v>51</v>
      </c>
      <c r="D98" s="937"/>
      <c r="E98" s="505">
        <v>7</v>
      </c>
      <c r="F98" s="261"/>
      <c r="G98" s="57"/>
      <c r="H98" s="57"/>
      <c r="I98" s="57"/>
      <c r="J98" s="58"/>
      <c r="K98" s="59"/>
      <c r="L98" s="58"/>
      <c r="M98" s="75"/>
      <c r="N98" s="75"/>
      <c r="O98" s="75"/>
      <c r="P98" s="493"/>
      <c r="Q98" s="493"/>
      <c r="R98" s="487"/>
      <c r="S98" s="487"/>
      <c r="T98" s="487"/>
    </row>
    <row r="99" spans="1:20" ht="15.75">
      <c r="A99" s="56"/>
      <c r="B99" s="56"/>
      <c r="C99" s="818" t="s">
        <v>52</v>
      </c>
      <c r="D99" s="819"/>
      <c r="E99" s="505">
        <v>9</v>
      </c>
      <c r="F99" s="182"/>
      <c r="G99" s="57"/>
      <c r="H99" s="57"/>
      <c r="I99" s="57"/>
      <c r="J99" s="58"/>
      <c r="K99" s="59"/>
      <c r="L99" s="58"/>
      <c r="M99" s="60"/>
      <c r="N99" s="129"/>
      <c r="O99" s="129"/>
      <c r="P99" s="123"/>
      <c r="Q99" s="123"/>
      <c r="R99" s="487"/>
      <c r="S99" s="487"/>
      <c r="T99" s="487"/>
    </row>
    <row r="100" spans="1:20" ht="16.5" thickBot="1">
      <c r="A100" s="56"/>
      <c r="B100" s="56"/>
      <c r="C100" s="820" t="s">
        <v>56</v>
      </c>
      <c r="D100" s="821"/>
      <c r="E100" s="505">
        <v>11</v>
      </c>
      <c r="F100" s="182"/>
      <c r="G100" s="57"/>
      <c r="H100" s="57"/>
      <c r="I100" s="57"/>
      <c r="J100" s="58"/>
      <c r="K100" s="59"/>
      <c r="L100" s="58"/>
      <c r="M100" s="60"/>
      <c r="N100" s="129"/>
      <c r="O100" s="129"/>
      <c r="P100" s="123"/>
      <c r="Q100" s="123"/>
      <c r="R100" s="487"/>
      <c r="S100" s="487"/>
      <c r="T100" s="487"/>
    </row>
    <row r="101" spans="1:20" ht="16.5" thickBot="1">
      <c r="A101" s="56"/>
      <c r="B101" s="56"/>
      <c r="C101" s="822" t="s">
        <v>54</v>
      </c>
      <c r="D101" s="823"/>
      <c r="E101" s="505">
        <v>13</v>
      </c>
      <c r="F101" s="59" t="s">
        <v>46</v>
      </c>
      <c r="G101" s="57"/>
      <c r="H101" s="57"/>
      <c r="I101" s="57"/>
      <c r="J101" s="58"/>
      <c r="K101" s="59"/>
      <c r="L101" s="58"/>
      <c r="M101" s="60"/>
      <c r="N101" s="123"/>
      <c r="O101" s="123"/>
      <c r="P101" s="129"/>
      <c r="Q101" s="129"/>
      <c r="R101" s="487"/>
      <c r="S101" s="487"/>
      <c r="T101" s="487"/>
    </row>
    <row r="102" spans="1:20" ht="15.75">
      <c r="A102" s="56"/>
      <c r="B102" s="56"/>
      <c r="C102" s="827" t="s">
        <v>159</v>
      </c>
      <c r="D102" s="828"/>
      <c r="E102" s="505">
        <v>15</v>
      </c>
      <c r="F102" s="58" t="s">
        <v>57</v>
      </c>
      <c r="G102" s="57"/>
      <c r="H102" s="57"/>
      <c r="I102" s="57"/>
      <c r="J102" s="58"/>
      <c r="K102" s="59"/>
      <c r="L102" s="58"/>
      <c r="M102" s="927">
        <v>31</v>
      </c>
      <c r="N102" s="928"/>
      <c r="O102" s="928"/>
      <c r="P102" s="928"/>
      <c r="Q102" s="928"/>
      <c r="R102" s="929"/>
      <c r="S102" s="487"/>
      <c r="T102" s="487"/>
    </row>
    <row r="103" spans="1:20" ht="15.75">
      <c r="A103" s="56"/>
      <c r="B103" s="56"/>
      <c r="C103" s="827" t="s">
        <v>165</v>
      </c>
      <c r="D103" s="828"/>
      <c r="E103" s="505">
        <v>17</v>
      </c>
      <c r="F103" s="59"/>
      <c r="G103" s="57"/>
      <c r="H103" s="57"/>
      <c r="I103" s="57"/>
      <c r="J103" s="58"/>
      <c r="K103" s="59"/>
      <c r="L103" s="58"/>
      <c r="M103" s="930"/>
      <c r="N103" s="931"/>
      <c r="O103" s="931"/>
      <c r="P103" s="931"/>
      <c r="Q103" s="931"/>
      <c r="R103" s="932"/>
      <c r="S103" s="334" t="s">
        <v>180</v>
      </c>
      <c r="T103" s="334" t="s">
        <v>179</v>
      </c>
    </row>
    <row r="104" spans="1:20" ht="16.5" thickBot="1">
      <c r="A104" s="56"/>
      <c r="B104" s="56"/>
      <c r="C104" s="829" t="s">
        <v>113</v>
      </c>
      <c r="D104" s="830"/>
      <c r="E104" s="505">
        <v>19</v>
      </c>
      <c r="F104" s="16" t="s">
        <v>108</v>
      </c>
      <c r="G104" s="57"/>
      <c r="H104" s="57"/>
      <c r="I104" s="57"/>
      <c r="J104" s="58"/>
      <c r="K104" s="59"/>
      <c r="L104" s="58"/>
      <c r="M104" s="933"/>
      <c r="N104" s="934"/>
      <c r="O104" s="934"/>
      <c r="P104" s="934"/>
      <c r="Q104" s="934"/>
      <c r="R104" s="935"/>
      <c r="S104" s="487"/>
      <c r="T104" s="487" t="s">
        <v>203</v>
      </c>
    </row>
    <row r="105" spans="1:20">
      <c r="A105" s="56"/>
      <c r="B105" s="56"/>
      <c r="C105" s="56"/>
      <c r="D105" s="57"/>
      <c r="E105" s="58"/>
      <c r="F105" s="57"/>
      <c r="G105" s="57"/>
      <c r="H105" s="57"/>
      <c r="I105" s="57"/>
      <c r="J105" s="58"/>
      <c r="K105" s="59"/>
      <c r="L105" s="58"/>
      <c r="M105" s="60"/>
      <c r="N105" s="123"/>
      <c r="O105" s="123"/>
      <c r="P105" s="129"/>
      <c r="Q105" s="129"/>
      <c r="R105" s="487"/>
      <c r="S105" s="487"/>
      <c r="T105" s="487"/>
    </row>
  </sheetData>
  <mergeCells count="71">
    <mergeCell ref="A68:T68"/>
    <mergeCell ref="F5:J6"/>
    <mergeCell ref="A65:C65"/>
    <mergeCell ref="O65:Q65"/>
    <mergeCell ref="O66:Q66"/>
    <mergeCell ref="C13:E14"/>
    <mergeCell ref="F13:G14"/>
    <mergeCell ref="H13:H14"/>
    <mergeCell ref="P38:Q38"/>
    <mergeCell ref="M47:R49"/>
    <mergeCell ref="A51:T51"/>
    <mergeCell ref="B55:C55"/>
    <mergeCell ref="E55:G55"/>
    <mergeCell ref="O61:T61"/>
    <mergeCell ref="O62:Q62"/>
    <mergeCell ref="A40:B40"/>
    <mergeCell ref="A41:B41"/>
    <mergeCell ref="R39:T39"/>
    <mergeCell ref="R40:T40"/>
    <mergeCell ref="U39:X39"/>
    <mergeCell ref="O64:Q64"/>
    <mergeCell ref="C49:D49"/>
    <mergeCell ref="A53:C53"/>
    <mergeCell ref="A52:C52"/>
    <mergeCell ref="C43:D43"/>
    <mergeCell ref="C44:D44"/>
    <mergeCell ref="C45:D45"/>
    <mergeCell ref="C46:D46"/>
    <mergeCell ref="C47:D47"/>
    <mergeCell ref="C48:D48"/>
    <mergeCell ref="O63:Q63"/>
    <mergeCell ref="C25:E26"/>
    <mergeCell ref="F25:G26"/>
    <mergeCell ref="H25:H26"/>
    <mergeCell ref="M25:P27"/>
    <mergeCell ref="A39:B39"/>
    <mergeCell ref="Q18:R19"/>
    <mergeCell ref="O20:P21"/>
    <mergeCell ref="Q20:R21"/>
    <mergeCell ref="C21:E22"/>
    <mergeCell ref="F21:G22"/>
    <mergeCell ref="H21:H22"/>
    <mergeCell ref="U14:X14"/>
    <mergeCell ref="P8:P9"/>
    <mergeCell ref="M14:N17"/>
    <mergeCell ref="O14:P15"/>
    <mergeCell ref="C5:E6"/>
    <mergeCell ref="K5:M6"/>
    <mergeCell ref="N5:O6"/>
    <mergeCell ref="K8:M9"/>
    <mergeCell ref="N8:O9"/>
    <mergeCell ref="Q14:R15"/>
    <mergeCell ref="O16:P17"/>
    <mergeCell ref="Q16:R17"/>
    <mergeCell ref="C17:E18"/>
    <mergeCell ref="F17:G18"/>
    <mergeCell ref="M18:N21"/>
    <mergeCell ref="O18:P19"/>
    <mergeCell ref="A94:B94"/>
    <mergeCell ref="R94:T94"/>
    <mergeCell ref="A95:B95"/>
    <mergeCell ref="R95:T95"/>
    <mergeCell ref="A96:B96"/>
    <mergeCell ref="M102:R104"/>
    <mergeCell ref="C103:D103"/>
    <mergeCell ref="C104:D104"/>
    <mergeCell ref="C98:D98"/>
    <mergeCell ref="C99:D99"/>
    <mergeCell ref="C100:D100"/>
    <mergeCell ref="C101:D101"/>
    <mergeCell ref="C102:D102"/>
  </mergeCells>
  <conditionalFormatting sqref="F25:G26">
    <cfRule type="cellIs" dxfId="7" priority="1" operator="greaterThan">
      <formula>55</formula>
    </cfRule>
  </conditionalFormatting>
  <dataValidations count="1">
    <dataValidation type="list" allowBlank="1" showInputMessage="1" showErrorMessage="1" promptTitle="Select a value " sqref="F17">
      <formula1>emissivity</formula1>
    </dataValidation>
  </dataValidations>
  <pageMargins left="0.7" right="0.7" top="0.75" bottom="0.75" header="0.3" footer="0.3"/>
  <pageSetup paperSize="9" orientation="portrait" verticalDpi="300" r:id="rId1"/>
  <drawing r:id="rId2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B421D06-2656-440F-8757-6AF4E97AC0EB}">
          <x14:formula1>
            <xm:f>'Default values '!$C$2:$C$10</xm:f>
          </x14:formula1>
          <xm:sqref>N5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>
  <dimension ref="A1:Z93"/>
  <sheetViews>
    <sheetView topLeftCell="A34" workbookViewId="0">
      <selection activeCell="A34" sqref="A1:XFD1048576"/>
    </sheetView>
  </sheetViews>
  <sheetFormatPr baseColWidth="10" defaultColWidth="8.85546875" defaultRowHeight="15"/>
  <cols>
    <col min="1" max="2" width="5.28515625" style="17" customWidth="1"/>
    <col min="3" max="3" width="13" style="17" customWidth="1"/>
    <col min="4" max="4" width="8.7109375" style="17" customWidth="1"/>
    <col min="5" max="6" width="7.7109375" style="17" customWidth="1"/>
    <col min="7" max="11" width="8.7109375" style="17" customWidth="1"/>
    <col min="12" max="12" width="6.85546875" style="17" customWidth="1"/>
    <col min="13" max="13" width="11.28515625" style="17" customWidth="1"/>
    <col min="14" max="14" width="8.7109375" style="17" customWidth="1"/>
    <col min="15" max="16" width="12.42578125" style="17" customWidth="1"/>
    <col min="17" max="17" width="8.7109375" style="17" customWidth="1"/>
    <col min="18" max="19" width="5.7109375" style="17" customWidth="1"/>
    <col min="20" max="20" width="12" style="16" bestFit="1" customWidth="1"/>
    <col min="21" max="26" width="8.85546875" style="16"/>
    <col min="27" max="16384" width="8.85546875" style="17"/>
  </cols>
  <sheetData>
    <row r="1" spans="1:26" ht="15" customHeight="1">
      <c r="A1" s="102"/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</row>
    <row r="2" spans="1:26" ht="15" customHeight="1">
      <c r="A2" s="102"/>
      <c r="B2" s="15"/>
      <c r="C2" s="15"/>
      <c r="D2" s="15"/>
      <c r="E2" s="15"/>
      <c r="F2" s="15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</row>
    <row r="3" spans="1:26" ht="7.9" customHeight="1">
      <c r="A3" s="102"/>
      <c r="B3" s="21"/>
      <c r="C3" s="21"/>
      <c r="D3" s="21"/>
      <c r="E3" s="21"/>
      <c r="F3" s="21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102"/>
    </row>
    <row r="4" spans="1:26" ht="5.45" customHeight="1">
      <c r="A4" s="102"/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24"/>
    </row>
    <row r="5" spans="1:26" s="23" customFormat="1" ht="15" customHeight="1">
      <c r="A5" s="26"/>
      <c r="B5" s="28"/>
      <c r="C5" s="797" t="s">
        <v>15</v>
      </c>
      <c r="D5" s="797"/>
      <c r="E5" s="797"/>
      <c r="F5" s="32" t="s">
        <v>37</v>
      </c>
      <c r="G5" s="947" t="s">
        <v>319</v>
      </c>
      <c r="H5" s="947"/>
      <c r="I5" s="947"/>
      <c r="J5" s="947"/>
      <c r="K5" s="799" t="s">
        <v>14</v>
      </c>
      <c r="L5" s="799"/>
      <c r="M5" s="799"/>
      <c r="N5" s="970" t="s">
        <v>33</v>
      </c>
      <c r="O5" s="970"/>
      <c r="P5" s="32">
        <f>VLOOKUP(N5,'Default values '!C2:D10,2,TRUE)</f>
        <v>8760</v>
      </c>
      <c r="Q5" s="28"/>
      <c r="R5" s="28"/>
      <c r="S5" s="28"/>
      <c r="T5" s="25"/>
      <c r="U5" s="22"/>
      <c r="V5" s="22"/>
      <c r="W5" s="22"/>
      <c r="X5" s="22"/>
      <c r="Y5" s="22"/>
      <c r="Z5" s="22"/>
    </row>
    <row r="6" spans="1:26" ht="15" customHeight="1">
      <c r="A6" s="102"/>
      <c r="B6" s="14"/>
      <c r="C6" s="797"/>
      <c r="D6" s="797"/>
      <c r="E6" s="797"/>
      <c r="F6" s="32"/>
      <c r="G6" s="947"/>
      <c r="H6" s="947"/>
      <c r="I6" s="947"/>
      <c r="J6" s="947"/>
      <c r="K6" s="799"/>
      <c r="L6" s="799"/>
      <c r="M6" s="799"/>
      <c r="N6" s="970"/>
      <c r="O6" s="970"/>
      <c r="P6" s="14"/>
      <c r="Q6" s="14"/>
      <c r="R6" s="14"/>
      <c r="S6" s="14"/>
    </row>
    <row r="7" spans="1:26" ht="15" customHeight="1">
      <c r="A7" s="102"/>
      <c r="B7" s="14"/>
      <c r="C7" s="100"/>
      <c r="D7" s="100"/>
      <c r="E7" s="100"/>
      <c r="F7" s="42"/>
      <c r="G7" s="276"/>
      <c r="H7" s="276"/>
      <c r="I7" s="276"/>
      <c r="J7" s="276"/>
      <c r="K7" s="14"/>
      <c r="L7" s="14"/>
      <c r="M7" s="14"/>
      <c r="N7" s="14"/>
      <c r="O7" s="14"/>
      <c r="P7" s="14"/>
      <c r="Q7" s="14"/>
      <c r="R7" s="14"/>
      <c r="S7" s="14"/>
    </row>
    <row r="8" spans="1:26" ht="15" customHeight="1">
      <c r="A8" s="102"/>
      <c r="B8" s="14"/>
      <c r="C8" s="100"/>
      <c r="D8" s="100"/>
      <c r="E8" s="100"/>
      <c r="F8" s="42"/>
      <c r="G8" s="276"/>
      <c r="H8" s="276"/>
      <c r="I8" s="276"/>
      <c r="J8" s="276"/>
      <c r="K8" s="799" t="s">
        <v>39</v>
      </c>
      <c r="L8" s="799"/>
      <c r="M8" s="799"/>
      <c r="N8" s="850">
        <v>200</v>
      </c>
      <c r="O8" s="850"/>
      <c r="P8" s="793" t="s">
        <v>22</v>
      </c>
      <c r="Q8" s="14"/>
      <c r="R8" s="14"/>
      <c r="S8" s="14"/>
    </row>
    <row r="9" spans="1:26" s="23" customFormat="1" ht="15" customHeight="1">
      <c r="A9" s="102"/>
      <c r="B9" s="14"/>
      <c r="C9" s="100"/>
      <c r="D9" s="100"/>
      <c r="E9" s="100"/>
      <c r="F9" s="42"/>
      <c r="G9" s="276"/>
      <c r="H9" s="276"/>
      <c r="I9" s="276"/>
      <c r="J9" s="276"/>
      <c r="K9" s="799"/>
      <c r="L9" s="799"/>
      <c r="M9" s="799"/>
      <c r="N9" s="850"/>
      <c r="O9" s="850"/>
      <c r="P9" s="793"/>
      <c r="Q9" s="26"/>
      <c r="R9" s="26"/>
      <c r="S9" s="26"/>
      <c r="T9" s="22"/>
      <c r="U9" s="22"/>
      <c r="V9" s="22"/>
      <c r="W9" s="22"/>
      <c r="X9" s="22"/>
      <c r="Y9" s="22"/>
      <c r="Z9" s="22"/>
    </row>
    <row r="10" spans="1:26" ht="15" customHeight="1">
      <c r="A10" s="102"/>
      <c r="B10" s="14"/>
      <c r="C10" s="100"/>
      <c r="D10" s="100"/>
      <c r="E10" s="100"/>
      <c r="F10" s="42"/>
      <c r="G10" s="42"/>
      <c r="H10" s="4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</row>
    <row r="11" spans="1:26" ht="15" customHeight="1" thickBot="1">
      <c r="A11" s="102"/>
      <c r="B11" s="14"/>
      <c r="C11" s="14"/>
      <c r="D11" s="14"/>
      <c r="E11" s="14"/>
      <c r="F11" s="14"/>
      <c r="G11" s="14"/>
      <c r="H11" s="14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</row>
    <row r="12" spans="1:26" ht="15" customHeight="1" thickTop="1">
      <c r="A12" s="102"/>
      <c r="B12" s="29"/>
      <c r="C12" s="30"/>
      <c r="D12" s="30"/>
      <c r="E12" s="30"/>
      <c r="F12" s="30"/>
      <c r="G12" s="30"/>
      <c r="H12" s="30"/>
      <c r="I12" s="6"/>
      <c r="J12" s="6"/>
      <c r="K12" s="48"/>
      <c r="L12" s="102"/>
      <c r="M12" s="15"/>
      <c r="N12" s="15"/>
      <c r="O12" s="15"/>
      <c r="P12" s="15"/>
      <c r="Q12" s="15"/>
      <c r="R12" s="15"/>
      <c r="S12" s="102"/>
    </row>
    <row r="13" spans="1:26" s="23" customFormat="1" ht="15" customHeight="1">
      <c r="A13" s="26"/>
      <c r="B13" s="31"/>
      <c r="C13" s="793" t="s">
        <v>7</v>
      </c>
      <c r="D13" s="793"/>
      <c r="E13" s="793"/>
      <c r="F13" s="850">
        <v>10</v>
      </c>
      <c r="G13" s="850"/>
      <c r="H13" s="793" t="s">
        <v>8</v>
      </c>
      <c r="I13" s="26"/>
      <c r="J13" s="26"/>
      <c r="K13" s="46"/>
      <c r="L13" s="26"/>
      <c r="M13" s="41"/>
      <c r="N13" s="41"/>
      <c r="O13" s="41"/>
      <c r="P13" s="41"/>
      <c r="Q13" s="41"/>
      <c r="R13" s="41"/>
      <c r="S13" s="26"/>
      <c r="T13" s="22"/>
      <c r="U13" s="22"/>
      <c r="V13" s="22"/>
      <c r="W13" s="22"/>
      <c r="X13" s="22"/>
      <c r="Y13" s="22"/>
      <c r="Z13" s="22"/>
    </row>
    <row r="14" spans="1:26" ht="15" customHeight="1">
      <c r="A14" s="102"/>
      <c r="B14" s="8"/>
      <c r="C14" s="793"/>
      <c r="D14" s="793"/>
      <c r="E14" s="793"/>
      <c r="F14" s="850"/>
      <c r="G14" s="850"/>
      <c r="H14" s="793"/>
      <c r="I14" s="15"/>
      <c r="J14" s="26"/>
      <c r="K14" s="46"/>
      <c r="L14" s="26"/>
      <c r="M14" s="851" t="str">
        <f>IF(O14="","","Heat loss")</f>
        <v>Heat loss</v>
      </c>
      <c r="N14" s="851"/>
      <c r="O14" s="845">
        <f>IF(F25=0,"",N45)</f>
        <v>57006.511751768456</v>
      </c>
      <c r="P14" s="845"/>
      <c r="Q14" s="839" t="str">
        <f>IF(O14="","","kWh/a")</f>
        <v>kWh/a</v>
      </c>
      <c r="R14" s="839"/>
      <c r="S14" s="102"/>
    </row>
    <row r="15" spans="1:26" ht="15" customHeight="1">
      <c r="A15" s="102"/>
      <c r="B15" s="8"/>
      <c r="C15" s="102"/>
      <c r="D15" s="102"/>
      <c r="E15" s="102"/>
      <c r="F15" s="33"/>
      <c r="G15" s="33"/>
      <c r="H15" s="102"/>
      <c r="I15" s="15"/>
      <c r="J15" s="15"/>
      <c r="K15" s="40"/>
      <c r="L15" s="15"/>
      <c r="M15" s="851"/>
      <c r="N15" s="851"/>
      <c r="O15" s="845"/>
      <c r="P15" s="845"/>
      <c r="Q15" s="839"/>
      <c r="R15" s="839"/>
      <c r="S15" s="102"/>
    </row>
    <row r="16" spans="1:26" ht="15" customHeight="1">
      <c r="A16" s="102"/>
      <c r="B16" s="8"/>
      <c r="C16" s="102"/>
      <c r="D16" s="102"/>
      <c r="E16" s="102"/>
      <c r="F16" s="33"/>
      <c r="G16" s="33"/>
      <c r="H16" s="102"/>
      <c r="I16" s="27"/>
      <c r="J16" s="27"/>
      <c r="K16" s="40"/>
      <c r="L16" s="27"/>
      <c r="M16" s="851"/>
      <c r="N16" s="851"/>
      <c r="O16" s="840">
        <f>IF(F25=0,"",O45)</f>
        <v>2052.2344230636641</v>
      </c>
      <c r="P16" s="840"/>
      <c r="Q16" s="841" t="str">
        <f>IF(O16="","","€/a")</f>
        <v>€/a</v>
      </c>
      <c r="R16" s="841"/>
      <c r="S16" s="102"/>
    </row>
    <row r="17" spans="1:26" s="23" customFormat="1" ht="15" customHeight="1">
      <c r="A17" s="26"/>
      <c r="B17" s="31"/>
      <c r="C17" s="793" t="s">
        <v>99</v>
      </c>
      <c r="D17" s="793"/>
      <c r="E17" s="793"/>
      <c r="F17" s="838" t="s">
        <v>329</v>
      </c>
      <c r="G17" s="838"/>
      <c r="H17" s="47">
        <f>IF(F17="","",VLOOKUP(F17,'Default values '!A2:B7,2,FALSE))</f>
        <v>0.9</v>
      </c>
      <c r="I17" s="27"/>
      <c r="J17" s="27"/>
      <c r="K17" s="46"/>
      <c r="L17" s="27"/>
      <c r="M17" s="851"/>
      <c r="N17" s="851"/>
      <c r="O17" s="840"/>
      <c r="P17" s="840"/>
      <c r="Q17" s="841"/>
      <c r="R17" s="841"/>
      <c r="S17" s="26"/>
      <c r="T17" s="22"/>
      <c r="U17" s="22"/>
      <c r="V17" s="22"/>
      <c r="W17" s="22"/>
      <c r="X17" s="22"/>
      <c r="Y17" s="22"/>
      <c r="Z17" s="22"/>
    </row>
    <row r="18" spans="1:26" ht="15" customHeight="1">
      <c r="A18" s="102"/>
      <c r="B18" s="8"/>
      <c r="C18" s="793"/>
      <c r="D18" s="793"/>
      <c r="E18" s="793"/>
      <c r="F18" s="838"/>
      <c r="G18" s="838"/>
      <c r="H18" s="15"/>
      <c r="I18" s="102"/>
      <c r="J18" s="102"/>
      <c r="K18" s="9"/>
      <c r="L18" s="102"/>
      <c r="M18" s="842" t="str">
        <f>IF(O14="","",IF(P48&lt;0,"","Saving potential"))</f>
        <v>Saving potential</v>
      </c>
      <c r="N18" s="842"/>
      <c r="O18" s="916">
        <f>IF(F25=0,"",IF(P48&lt;0,"",P48))</f>
        <v>38498.596679933893</v>
      </c>
      <c r="P18" s="916">
        <f>IF(F25=0,"",IF(P49&lt;0,"",P49))</f>
        <v>49122.511751768456</v>
      </c>
      <c r="Q18" s="898" t="str">
        <f>IF(O18="","",IF(P48&lt;0,"","kWh/a"))</f>
        <v>kWh/a</v>
      </c>
      <c r="R18" s="898"/>
      <c r="S18" s="102"/>
    </row>
    <row r="19" spans="1:26" ht="15" customHeight="1">
      <c r="A19" s="102"/>
      <c r="B19" s="8"/>
      <c r="C19" s="15"/>
      <c r="D19" s="15"/>
      <c r="E19" s="15"/>
      <c r="F19" s="33"/>
      <c r="G19" s="33"/>
      <c r="H19" s="15"/>
      <c r="I19" s="102"/>
      <c r="J19" s="102"/>
      <c r="K19" s="9"/>
      <c r="L19" s="102"/>
      <c r="M19" s="842"/>
      <c r="N19" s="842"/>
      <c r="O19" s="916"/>
      <c r="P19" s="916"/>
      <c r="Q19" s="898"/>
      <c r="R19" s="898"/>
      <c r="S19" s="102"/>
    </row>
    <row r="20" spans="1:26" ht="15" customHeight="1">
      <c r="A20" s="102"/>
      <c r="B20" s="8"/>
      <c r="C20" s="102"/>
      <c r="D20" s="102"/>
      <c r="E20" s="102"/>
      <c r="F20" s="33"/>
      <c r="G20" s="33"/>
      <c r="H20" s="102"/>
      <c r="I20" s="102"/>
      <c r="J20" s="102"/>
      <c r="K20" s="9"/>
      <c r="L20" s="102"/>
      <c r="M20" s="842"/>
      <c r="N20" s="842"/>
      <c r="O20" s="917">
        <f>IF(F25=0,"",IF(P48&lt;0,"",Q48))</f>
        <v>1385.94948047762</v>
      </c>
      <c r="P20" s="917">
        <f>IF(F25=0,"",IF(P48&lt;0,"",Q49))</f>
        <v>1768.410423063664</v>
      </c>
      <c r="Q20" s="899" t="str">
        <f>IF(O20=0,"",IF(P48&lt;0,"","€/a"))</f>
        <v>€/a</v>
      </c>
      <c r="R20" s="899"/>
      <c r="S20" s="102"/>
    </row>
    <row r="21" spans="1:26" s="23" customFormat="1" ht="15" customHeight="1">
      <c r="A21" s="26"/>
      <c r="B21" s="31"/>
      <c r="C21" s="793" t="s">
        <v>36</v>
      </c>
      <c r="D21" s="793"/>
      <c r="E21" s="793"/>
      <c r="F21" s="850">
        <v>20</v>
      </c>
      <c r="G21" s="850"/>
      <c r="H21" s="793" t="s">
        <v>22</v>
      </c>
      <c r="I21" s="26"/>
      <c r="J21" s="26"/>
      <c r="K21" s="46"/>
      <c r="L21" s="26"/>
      <c r="M21" s="842"/>
      <c r="N21" s="842"/>
      <c r="O21" s="917"/>
      <c r="P21" s="917"/>
      <c r="Q21" s="899"/>
      <c r="R21" s="899"/>
      <c r="S21" s="26"/>
      <c r="T21" s="22"/>
      <c r="U21" s="22"/>
      <c r="V21" s="22"/>
      <c r="W21" s="22"/>
      <c r="X21" s="22"/>
      <c r="Y21" s="22"/>
      <c r="Z21" s="22"/>
    </row>
    <row r="22" spans="1:26" ht="15" customHeight="1">
      <c r="A22" s="102"/>
      <c r="B22" s="8"/>
      <c r="C22" s="793"/>
      <c r="D22" s="793"/>
      <c r="E22" s="793"/>
      <c r="F22" s="850"/>
      <c r="G22" s="850"/>
      <c r="H22" s="793"/>
      <c r="I22" s="102"/>
      <c r="J22" s="102"/>
      <c r="K22" s="9"/>
      <c r="L22" s="102"/>
      <c r="M22" s="41"/>
      <c r="N22" s="41"/>
      <c r="O22" s="41"/>
      <c r="P22" s="41"/>
      <c r="Q22" s="41"/>
      <c r="R22" s="41"/>
      <c r="S22" s="102"/>
    </row>
    <row r="23" spans="1:26" ht="15" customHeight="1">
      <c r="A23" s="102"/>
      <c r="B23" s="8"/>
      <c r="C23" s="102"/>
      <c r="D23" s="102"/>
      <c r="E23" s="102"/>
      <c r="F23" s="102"/>
      <c r="G23" s="102"/>
      <c r="H23" s="18"/>
      <c r="I23" s="19"/>
      <c r="J23" s="19"/>
      <c r="K23" s="40"/>
      <c r="L23" s="102"/>
      <c r="M23" s="45"/>
      <c r="N23" s="43"/>
      <c r="O23" s="43"/>
      <c r="P23" s="43"/>
      <c r="Q23" s="43"/>
      <c r="R23" s="43"/>
      <c r="S23" s="102"/>
    </row>
    <row r="24" spans="1:26" ht="15" customHeight="1">
      <c r="A24" s="102"/>
      <c r="B24" s="8"/>
      <c r="C24" s="102"/>
      <c r="D24" s="102"/>
      <c r="E24" s="102"/>
      <c r="F24" s="102"/>
      <c r="G24" s="102"/>
      <c r="H24" s="19"/>
      <c r="I24" s="19"/>
      <c r="J24" s="19"/>
      <c r="K24" s="40"/>
      <c r="L24" s="102"/>
      <c r="M24" s="49"/>
      <c r="N24" s="44"/>
      <c r="O24" s="44"/>
      <c r="P24" s="44"/>
      <c r="Q24" s="43"/>
      <c r="R24" s="43"/>
      <c r="S24" s="102"/>
    </row>
    <row r="25" spans="1:26" ht="15" customHeight="1">
      <c r="A25" s="26"/>
      <c r="B25" s="8"/>
      <c r="C25" s="793" t="s">
        <v>38</v>
      </c>
      <c r="D25" s="793"/>
      <c r="E25" s="793"/>
      <c r="F25" s="850">
        <v>70</v>
      </c>
      <c r="G25" s="850"/>
      <c r="H25" s="793" t="s">
        <v>22</v>
      </c>
      <c r="I25" s="19"/>
      <c r="J25" s="19"/>
      <c r="K25" s="40"/>
      <c r="L25" s="102"/>
      <c r="M25" s="946" t="str">
        <f>IF(F25="","",K54)</f>
        <v>"Savings can be achieved by increasing insulation performance or thickness"</v>
      </c>
      <c r="N25" s="946"/>
      <c r="O25" s="946"/>
      <c r="P25" s="946"/>
      <c r="Q25" s="43"/>
      <c r="R25" s="43"/>
      <c r="S25" s="102"/>
    </row>
    <row r="26" spans="1:26" ht="15" customHeight="1">
      <c r="A26" s="102"/>
      <c r="B26" s="8"/>
      <c r="C26" s="793"/>
      <c r="D26" s="793"/>
      <c r="E26" s="793"/>
      <c r="F26" s="850"/>
      <c r="G26" s="850"/>
      <c r="H26" s="793"/>
      <c r="I26" s="19"/>
      <c r="J26" s="19"/>
      <c r="K26" s="40"/>
      <c r="L26" s="102"/>
      <c r="M26" s="946"/>
      <c r="N26" s="946"/>
      <c r="O26" s="946"/>
      <c r="P26" s="946"/>
      <c r="Q26" s="43"/>
      <c r="R26" s="102"/>
      <c r="S26" s="102"/>
    </row>
    <row r="27" spans="1:26" ht="15" customHeight="1" thickBot="1">
      <c r="A27" s="102"/>
      <c r="B27" s="10"/>
      <c r="C27" s="11"/>
      <c r="D27" s="11"/>
      <c r="E27" s="11"/>
      <c r="F27" s="11"/>
      <c r="G27" s="11"/>
      <c r="H27" s="11"/>
      <c r="I27" s="11"/>
      <c r="J27" s="11"/>
      <c r="K27" s="12"/>
      <c r="L27" s="102"/>
      <c r="M27" s="946"/>
      <c r="N27" s="946"/>
      <c r="O27" s="946"/>
      <c r="P27" s="946"/>
      <c r="Q27" s="43"/>
      <c r="R27" s="102"/>
      <c r="S27" s="102"/>
    </row>
    <row r="28" spans="1:26" ht="15" customHeight="1" thickTop="1" thickBot="1">
      <c r="A28" s="102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</row>
    <row r="29" spans="1:26" ht="15" customHeight="1" thickTop="1">
      <c r="A29" s="102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102"/>
    </row>
    <row r="30" spans="1:26">
      <c r="A30" s="102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</row>
    <row r="31" spans="1:26">
      <c r="A31" s="118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</row>
    <row r="32" spans="1:26">
      <c r="A32" s="118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</row>
    <row r="33" spans="1:21">
      <c r="A33" s="118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</row>
    <row r="34" spans="1:21">
      <c r="A34" s="118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</row>
    <row r="35" spans="1:21">
      <c r="A35" s="118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</row>
    <row r="36" spans="1:21">
      <c r="A36" s="118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</row>
    <row r="37" spans="1:21">
      <c r="A37" s="118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</row>
    <row r="38" spans="1:21">
      <c r="A38" s="118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</row>
    <row r="39" spans="1:21">
      <c r="A39" s="118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</row>
    <row r="40" spans="1:21">
      <c r="A40" s="102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</row>
    <row r="41" spans="1:21">
      <c r="A41" s="102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</row>
    <row r="42" spans="1:21">
      <c r="A42" s="102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</row>
    <row r="43" spans="1:21" ht="68.45" customHeight="1">
      <c r="A43" s="65"/>
      <c r="B43" s="65"/>
      <c r="C43" s="73"/>
      <c r="D43" s="72"/>
      <c r="E43" s="72"/>
      <c r="F43" s="35"/>
      <c r="G43" s="16"/>
      <c r="H43" s="16"/>
      <c r="I43" s="16"/>
      <c r="J43" s="74"/>
      <c r="K43" s="74"/>
      <c r="L43" s="74"/>
      <c r="M43" s="75"/>
      <c r="N43" s="76" t="s">
        <v>31</v>
      </c>
      <c r="O43" s="76" t="s">
        <v>83</v>
      </c>
      <c r="P43" s="960" t="s">
        <v>101</v>
      </c>
      <c r="Q43" s="960"/>
      <c r="R43" s="16"/>
      <c r="S43" s="16"/>
      <c r="T43" s="199" t="s">
        <v>299</v>
      </c>
    </row>
    <row r="44" spans="1:21" ht="45">
      <c r="A44" s="948" t="s">
        <v>5</v>
      </c>
      <c r="B44" s="948"/>
      <c r="C44" s="188" t="s">
        <v>35</v>
      </c>
      <c r="D44" s="188" t="s">
        <v>40</v>
      </c>
      <c r="E44" s="188" t="s">
        <v>29</v>
      </c>
      <c r="F44" s="188" t="s">
        <v>30</v>
      </c>
      <c r="G44" s="189" t="s">
        <v>78</v>
      </c>
      <c r="H44" s="188" t="s">
        <v>59</v>
      </c>
      <c r="I44" s="188" t="s">
        <v>58</v>
      </c>
      <c r="J44" s="190" t="s">
        <v>13</v>
      </c>
      <c r="K44" s="190" t="s">
        <v>28</v>
      </c>
      <c r="L44" s="190" t="s">
        <v>26</v>
      </c>
      <c r="M44" s="147" t="s">
        <v>27</v>
      </c>
      <c r="N44" s="80" t="s">
        <v>84</v>
      </c>
      <c r="O44" s="80" t="s">
        <v>85</v>
      </c>
      <c r="P44" s="80"/>
      <c r="Q44" s="80"/>
      <c r="R44" s="16"/>
      <c r="S44" s="16"/>
      <c r="T44" s="200" t="s">
        <v>150</v>
      </c>
      <c r="U44" s="200"/>
    </row>
    <row r="45" spans="1:21">
      <c r="A45" s="804" t="str">
        <f>G5</f>
        <v>Burner L6</v>
      </c>
      <c r="B45" s="804"/>
      <c r="C45" s="255">
        <f>F13</f>
        <v>10</v>
      </c>
      <c r="D45" s="255">
        <f>N8</f>
        <v>200</v>
      </c>
      <c r="E45" s="256">
        <f>F25</f>
        <v>70</v>
      </c>
      <c r="F45" s="256">
        <f>F21</f>
        <v>20</v>
      </c>
      <c r="G45" s="544">
        <f>H17</f>
        <v>0.9</v>
      </c>
      <c r="H45" s="256">
        <f>P5</f>
        <v>8760</v>
      </c>
      <c r="I45" s="257">
        <f>TBi!$L$27</f>
        <v>3.5999999999999997E-2</v>
      </c>
      <c r="J45" s="192">
        <f>IF(E45=0,"",G45*D63*(((E45+273)^4-(F45+273)^4)/(E45-F45)))</f>
        <v>6.6049713597165836</v>
      </c>
      <c r="K45" s="193">
        <f>IF(E45=0,"",1.74*ABS(E45-F45)^0.3333333)</f>
        <v>6.4102139717374005</v>
      </c>
      <c r="L45" s="192">
        <f>IF(E45=0,"",J45+K45)</f>
        <v>13.015185331453985</v>
      </c>
      <c r="M45" s="194">
        <f>IF(E45=0,"",L45*ABS(E45-F45))</f>
        <v>650.75926657269929</v>
      </c>
      <c r="N45" s="79">
        <f>IF(E45=0,"",M45*H45*C45/1000)</f>
        <v>57006.511751768456</v>
      </c>
      <c r="O45" s="79">
        <f>IF(E45=0,"",N45*I45)</f>
        <v>2052.2344230636641</v>
      </c>
      <c r="P45" s="61"/>
      <c r="Q45" s="61"/>
      <c r="R45" s="16"/>
      <c r="S45" s="16"/>
      <c r="T45" s="201">
        <f>(D45-E45)*$T$49/M45</f>
        <v>1.9976665209035037E-2</v>
      </c>
      <c r="U45" s="201"/>
    </row>
    <row r="46" spans="1:21">
      <c r="A46" s="191" t="s">
        <v>100</v>
      </c>
      <c r="B46" s="191" t="s">
        <v>288</v>
      </c>
      <c r="C46" s="255">
        <f>C45</f>
        <v>10</v>
      </c>
      <c r="D46" s="255">
        <f>D45</f>
        <v>200</v>
      </c>
      <c r="E46" s="417">
        <f>D74</f>
        <v>55</v>
      </c>
      <c r="F46" s="417">
        <f>D75</f>
        <v>35</v>
      </c>
      <c r="G46" s="544">
        <v>0.8</v>
      </c>
      <c r="H46" s="256">
        <f>H45</f>
        <v>8760</v>
      </c>
      <c r="I46" s="257">
        <f>I45</f>
        <v>3.5999999999999997E-2</v>
      </c>
      <c r="J46" s="192">
        <f>IF(E46=0,"",G46*D63*(((E46+273)^4-(F46+273)^4)/(E46-F46)))</f>
        <v>5.8407922844206084</v>
      </c>
      <c r="K46" s="193">
        <f>IF(E46=0,"",1.74*ABS(E46-F46)^0.3333333)</f>
        <v>4.72308618123839</v>
      </c>
      <c r="L46" s="192">
        <f>IF(E46=0,"",J46+K46)</f>
        <v>10.563878465658998</v>
      </c>
      <c r="M46" s="194">
        <f>IF(E46=0,"",L46*ABS(E46-F46))</f>
        <v>211.27756931317998</v>
      </c>
      <c r="N46" s="195">
        <f>IF(E46=0,"",M46*H46*C46/1000)</f>
        <v>18507.915071834563</v>
      </c>
      <c r="O46" s="195">
        <f>IF(E46=0,"",N46*I46)</f>
        <v>666.28494258604417</v>
      </c>
      <c r="P46" s="79"/>
      <c r="Q46" s="79"/>
      <c r="R46" s="16"/>
      <c r="S46" s="16"/>
      <c r="T46" s="201">
        <f>(D46-E46)*$T$49/M46</f>
        <v>6.8630096640814847E-2</v>
      </c>
      <c r="U46" s="201"/>
    </row>
    <row r="47" spans="1:21" s="16" customFormat="1" ht="18.75">
      <c r="A47" s="379" t="s">
        <v>100</v>
      </c>
      <c r="B47" s="379" t="s">
        <v>289</v>
      </c>
      <c r="C47" s="255">
        <f>C46</f>
        <v>10</v>
      </c>
      <c r="D47" s="255">
        <f>D46</f>
        <v>200</v>
      </c>
      <c r="E47" s="256">
        <f>D75</f>
        <v>35</v>
      </c>
      <c r="F47" s="256">
        <f>D76</f>
        <v>0.8</v>
      </c>
      <c r="G47" s="256">
        <f>D77</f>
        <v>90</v>
      </c>
      <c r="H47" s="256">
        <f>H46</f>
        <v>8760</v>
      </c>
      <c r="I47" s="257">
        <f>I46</f>
        <v>3.5999999999999997E-2</v>
      </c>
      <c r="J47" s="192"/>
      <c r="K47" s="193"/>
      <c r="L47" s="192"/>
      <c r="M47" s="416">
        <f>D77</f>
        <v>90</v>
      </c>
      <c r="N47" s="195">
        <f>IF(E45=0,"",M47*H47*C47/1000)</f>
        <v>7884</v>
      </c>
      <c r="O47" s="195">
        <f>IF(E47=0,"",N47*I47)</f>
        <v>283.82399999999996</v>
      </c>
      <c r="P47" s="186" t="s">
        <v>61</v>
      </c>
      <c r="Q47" s="187" t="s">
        <v>23</v>
      </c>
      <c r="R47" s="36"/>
      <c r="S47" s="36"/>
      <c r="T47" s="201">
        <f>(D47-E47)*$T$49/M47</f>
        <v>0.18333333333333332</v>
      </c>
      <c r="U47" s="202"/>
    </row>
    <row r="48" spans="1:21" s="16" customFormat="1">
      <c r="A48" s="56"/>
      <c r="B48" s="56"/>
      <c r="C48" s="56"/>
      <c r="D48" s="56"/>
      <c r="E48" s="182"/>
      <c r="F48" s="182"/>
      <c r="G48" s="57"/>
      <c r="H48" s="57"/>
      <c r="I48" s="57"/>
      <c r="J48" s="58"/>
      <c r="K48" s="59"/>
      <c r="L48" s="58"/>
      <c r="M48" s="60"/>
      <c r="N48" s="129"/>
      <c r="O48" s="129"/>
      <c r="P48" s="184">
        <f>N45-N46</f>
        <v>38498.596679933893</v>
      </c>
      <c r="Q48" s="79">
        <f>O45-O46</f>
        <v>1385.94948047762</v>
      </c>
      <c r="R48" s="36"/>
      <c r="S48" s="36"/>
      <c r="T48" s="201"/>
      <c r="U48" s="200"/>
    </row>
    <row r="49" spans="1:21" s="16" customFormat="1">
      <c r="A49" s="56"/>
      <c r="B49" s="56"/>
      <c r="C49" s="56"/>
      <c r="D49" s="56"/>
      <c r="E49" s="182"/>
      <c r="F49" s="182"/>
      <c r="G49" s="57"/>
      <c r="H49" s="57"/>
      <c r="I49" s="57"/>
      <c r="J49" s="58"/>
      <c r="K49" s="59"/>
      <c r="L49" s="58"/>
      <c r="M49" s="60"/>
      <c r="N49" s="129"/>
      <c r="O49" s="129"/>
      <c r="P49" s="184">
        <f>N45-N47</f>
        <v>49122.511751768456</v>
      </c>
      <c r="Q49" s="79">
        <f>O45-O47</f>
        <v>1768.410423063664</v>
      </c>
      <c r="R49" s="36"/>
      <c r="S49" s="36"/>
      <c r="T49" s="301">
        <v>0.1</v>
      </c>
      <c r="U49" s="200"/>
    </row>
    <row r="50" spans="1:21" s="16" customFormat="1">
      <c r="A50" s="56"/>
      <c r="B50" s="56"/>
      <c r="C50" s="56"/>
      <c r="D50" s="56"/>
      <c r="E50" s="182"/>
      <c r="F50" s="182"/>
      <c r="G50" s="57"/>
      <c r="H50" s="57"/>
      <c r="I50" s="57"/>
      <c r="J50" s="58"/>
      <c r="K50" s="59"/>
      <c r="L50" s="58"/>
      <c r="M50" s="60"/>
      <c r="N50" s="129"/>
      <c r="O50" s="129"/>
      <c r="P50" s="123"/>
      <c r="Q50" s="123"/>
      <c r="R50" s="36"/>
      <c r="S50" s="36"/>
      <c r="T50" s="200" t="s">
        <v>55</v>
      </c>
      <c r="U50" s="200"/>
    </row>
    <row r="51" spans="1:21" s="16" customFormat="1">
      <c r="A51" s="56"/>
      <c r="B51" s="56"/>
      <c r="C51" s="56"/>
      <c r="D51" s="56"/>
      <c r="E51" s="182"/>
      <c r="F51" s="182"/>
      <c r="G51" s="419"/>
      <c r="H51" s="57"/>
      <c r="I51" s="57"/>
      <c r="J51" s="58"/>
      <c r="K51" s="59"/>
      <c r="L51" s="58"/>
      <c r="M51" s="60"/>
      <c r="N51" s="129"/>
      <c r="O51" s="129"/>
      <c r="P51" s="123"/>
      <c r="Q51" s="123"/>
      <c r="R51" s="36"/>
      <c r="S51" s="36"/>
      <c r="T51" s="200"/>
      <c r="U51" s="200"/>
    </row>
    <row r="52" spans="1:21" s="16" customFormat="1">
      <c r="A52" s="56"/>
      <c r="B52" s="56"/>
      <c r="C52" s="56"/>
      <c r="D52" s="56"/>
      <c r="E52" s="182"/>
      <c r="F52" s="182"/>
      <c r="G52" s="57"/>
      <c r="H52" s="57"/>
      <c r="I52" s="57"/>
      <c r="J52" s="58"/>
      <c r="K52" s="59"/>
      <c r="L52" s="58"/>
      <c r="M52" s="60"/>
      <c r="N52" s="129"/>
      <c r="O52" s="129"/>
      <c r="P52" s="123"/>
      <c r="Q52" s="123"/>
      <c r="R52" s="36"/>
      <c r="S52" s="36"/>
      <c r="T52" s="200"/>
      <c r="U52" s="200"/>
    </row>
    <row r="53" spans="1:21" s="16" customFormat="1" ht="15.75" thickBot="1">
      <c r="A53" s="56"/>
      <c r="B53" s="56"/>
      <c r="C53" s="56"/>
      <c r="D53" s="56"/>
      <c r="E53" s="182"/>
      <c r="F53" s="182"/>
      <c r="G53" s="57"/>
      <c r="H53" s="57"/>
      <c r="I53" s="57"/>
      <c r="J53" s="58"/>
      <c r="K53" s="59"/>
      <c r="L53" s="58"/>
      <c r="M53" s="60"/>
      <c r="N53" s="129"/>
      <c r="O53" s="129"/>
      <c r="P53" s="123"/>
      <c r="Q53" s="123"/>
      <c r="R53" s="36"/>
      <c r="S53" s="36"/>
      <c r="T53" s="200"/>
      <c r="U53" s="200"/>
    </row>
    <row r="54" spans="1:21" s="16" customFormat="1">
      <c r="A54" s="56"/>
      <c r="B54" s="56"/>
      <c r="C54" s="56"/>
      <c r="D54" s="56"/>
      <c r="E54" s="182"/>
      <c r="F54" s="182"/>
      <c r="G54" s="57"/>
      <c r="H54" s="57"/>
      <c r="I54" s="57"/>
      <c r="J54" s="58"/>
      <c r="K54" s="949" t="s">
        <v>370</v>
      </c>
      <c r="L54" s="950"/>
      <c r="M54" s="950"/>
      <c r="N54" s="950"/>
      <c r="O54" s="950"/>
      <c r="P54" s="951"/>
      <c r="Q54" s="123"/>
      <c r="R54" s="36"/>
      <c r="S54" s="36"/>
      <c r="T54" s="200"/>
      <c r="U54" s="200"/>
    </row>
    <row r="55" spans="1:21" s="16" customFormat="1">
      <c r="A55" s="56"/>
      <c r="B55" s="56"/>
      <c r="C55" s="56"/>
      <c r="D55" s="56"/>
      <c r="E55" s="182"/>
      <c r="F55" s="182"/>
      <c r="G55" s="57"/>
      <c r="H55" s="57"/>
      <c r="I55" s="57"/>
      <c r="J55" s="58"/>
      <c r="K55" s="952"/>
      <c r="L55" s="953"/>
      <c r="M55" s="953"/>
      <c r="N55" s="953"/>
      <c r="O55" s="953"/>
      <c r="P55" s="954"/>
      <c r="Q55" s="123"/>
      <c r="R55" s="36"/>
      <c r="S55" s="36"/>
      <c r="T55" s="200"/>
      <c r="U55" s="200"/>
    </row>
    <row r="56" spans="1:21" s="16" customFormat="1" ht="15.75" thickBot="1">
      <c r="A56" s="56"/>
      <c r="B56" s="56"/>
      <c r="C56" s="56"/>
      <c r="D56" s="56"/>
      <c r="E56" s="182"/>
      <c r="F56" s="182"/>
      <c r="G56" s="57"/>
      <c r="H56" s="57"/>
      <c r="I56" s="57"/>
      <c r="J56" s="58"/>
      <c r="K56" s="955"/>
      <c r="L56" s="956"/>
      <c r="M56" s="956"/>
      <c r="N56" s="956"/>
      <c r="O56" s="956"/>
      <c r="P56" s="957"/>
      <c r="Q56" s="123"/>
      <c r="R56" s="36"/>
      <c r="S56" s="36"/>
      <c r="T56" s="200"/>
      <c r="U56" s="200"/>
    </row>
    <row r="57" spans="1:21" s="16" customFormat="1">
      <c r="A57" s="56"/>
      <c r="B57" s="56"/>
      <c r="C57" s="57"/>
      <c r="D57" s="57"/>
      <c r="E57" s="183"/>
      <c r="F57" s="59"/>
      <c r="G57" s="57"/>
      <c r="H57" s="57"/>
      <c r="I57" s="57"/>
      <c r="J57" s="58"/>
      <c r="K57" s="59"/>
      <c r="L57" s="58"/>
      <c r="M57" s="60"/>
      <c r="N57" s="123"/>
      <c r="O57" s="123"/>
      <c r="P57" s="129"/>
      <c r="Q57" s="129"/>
      <c r="R57" s="36"/>
      <c r="S57" s="36"/>
      <c r="T57" s="200"/>
    </row>
    <row r="58" spans="1:21" s="16" customFormat="1" ht="15.75" thickBot="1">
      <c r="A58" s="56"/>
      <c r="B58" s="56"/>
      <c r="C58" s="56"/>
      <c r="D58" s="57"/>
      <c r="E58" s="58"/>
      <c r="F58" s="58"/>
      <c r="G58" s="57"/>
      <c r="H58" s="57"/>
      <c r="I58" s="57"/>
      <c r="J58" s="58"/>
      <c r="K58" s="59"/>
      <c r="L58" s="58"/>
      <c r="M58" s="60"/>
      <c r="N58" s="123"/>
      <c r="O58" s="123"/>
      <c r="P58" s="129"/>
      <c r="Q58" s="129"/>
      <c r="R58" s="36"/>
      <c r="S58" s="36"/>
      <c r="T58" s="200"/>
    </row>
    <row r="59" spans="1:21" s="16" customFormat="1" ht="15.75" thickBot="1">
      <c r="A59" s="56"/>
      <c r="B59" s="56"/>
      <c r="C59" s="56"/>
      <c r="D59" s="141"/>
      <c r="E59" s="151"/>
      <c r="F59" s="17"/>
      <c r="G59" s="57"/>
      <c r="H59" s="57"/>
      <c r="I59" s="57"/>
      <c r="J59" s="58"/>
      <c r="K59" s="59"/>
      <c r="L59" s="58"/>
      <c r="M59" s="60"/>
      <c r="N59" s="123"/>
      <c r="O59" s="123"/>
      <c r="P59" s="129"/>
      <c r="Q59" s="129"/>
      <c r="R59" s="36"/>
      <c r="S59" s="36"/>
      <c r="T59" s="36"/>
    </row>
    <row r="60" spans="1:21" s="16" customFormat="1">
      <c r="A60" s="56"/>
      <c r="B60" s="56"/>
      <c r="C60" s="56"/>
      <c r="D60" s="57"/>
      <c r="E60" s="58"/>
      <c r="F60" s="57"/>
      <c r="G60" s="57"/>
      <c r="H60" s="57"/>
      <c r="I60" s="57"/>
      <c r="J60" s="58"/>
      <c r="K60" s="59"/>
      <c r="L60" s="58"/>
      <c r="M60" s="60"/>
      <c r="N60" s="123"/>
      <c r="O60" s="123"/>
      <c r="P60" s="129"/>
      <c r="Q60" s="129"/>
      <c r="R60" s="36"/>
      <c r="S60" s="36"/>
      <c r="T60" s="36"/>
    </row>
    <row r="61" spans="1:21" s="16" customFormat="1" ht="15.75" thickBot="1">
      <c r="A61" s="380" t="s">
        <v>109</v>
      </c>
      <c r="B61" s="380"/>
      <c r="C61" s="380"/>
      <c r="D61" s="380"/>
      <c r="E61" s="380"/>
      <c r="F61" s="380"/>
      <c r="G61" s="380"/>
      <c r="H61" s="380"/>
      <c r="I61" s="380"/>
      <c r="J61" s="380"/>
      <c r="K61" s="380"/>
      <c r="L61" s="380"/>
      <c r="M61" s="380"/>
      <c r="N61" s="380"/>
      <c r="O61" s="380"/>
      <c r="P61" s="380"/>
      <c r="Q61" s="380"/>
      <c r="R61" s="380"/>
      <c r="S61" s="380"/>
      <c r="T61" s="36"/>
      <c r="U61" s="16" t="s">
        <v>82</v>
      </c>
    </row>
    <row r="62" spans="1:21" s="2" customFormat="1" ht="15.75" thickBot="1">
      <c r="A62" s="905" t="s">
        <v>162</v>
      </c>
      <c r="B62" s="906"/>
      <c r="C62" s="906"/>
      <c r="D62" s="232">
        <v>3.1415999999999999</v>
      </c>
      <c r="E62" s="57"/>
      <c r="F62" s="57"/>
      <c r="G62" s="57"/>
      <c r="H62" s="57"/>
      <c r="I62" s="57"/>
      <c r="J62" s="58"/>
      <c r="K62" s="59"/>
      <c r="L62" s="58"/>
      <c r="M62" s="60"/>
      <c r="N62" s="303"/>
      <c r="O62" s="303"/>
      <c r="P62" s="280"/>
      <c r="Q62" s="280"/>
      <c r="R62" s="290"/>
      <c r="S62" s="290"/>
      <c r="T62" s="36"/>
    </row>
    <row r="63" spans="1:21" s="2" customFormat="1" ht="15.75" thickBot="1">
      <c r="A63" s="907" t="s">
        <v>80</v>
      </c>
      <c r="B63" s="906"/>
      <c r="C63" s="906"/>
      <c r="D63" s="304">
        <v>5.6703669999999997E-8</v>
      </c>
      <c r="E63" s="57"/>
      <c r="F63" s="57"/>
      <c r="G63" s="57"/>
      <c r="H63" s="57"/>
      <c r="I63" s="57"/>
      <c r="J63" s="58"/>
      <c r="K63" s="59"/>
      <c r="L63" s="58"/>
      <c r="M63" s="60"/>
      <c r="N63" s="303"/>
      <c r="O63" s="303"/>
      <c r="P63" s="280"/>
      <c r="Q63" s="280"/>
      <c r="R63" s="290"/>
      <c r="S63" s="290"/>
      <c r="T63" s="380"/>
    </row>
    <row r="64" spans="1:21" s="2" customFormat="1">
      <c r="A64" s="162"/>
      <c r="B64" s="89"/>
      <c r="C64" s="157"/>
      <c r="D64" s="57"/>
      <c r="E64" s="57"/>
      <c r="F64" s="56"/>
      <c r="G64" s="130"/>
      <c r="H64" s="57"/>
      <c r="I64" s="58"/>
      <c r="J64" s="59"/>
      <c r="K64" s="58"/>
      <c r="L64" s="60"/>
      <c r="M64" s="303"/>
      <c r="N64" s="303"/>
      <c r="O64" s="280"/>
      <c r="P64" s="280"/>
      <c r="Q64" s="290"/>
      <c r="R64" s="290"/>
      <c r="S64" s="290"/>
      <c r="T64" s="290"/>
    </row>
    <row r="65" spans="1:22" s="2" customFormat="1">
      <c r="A65" s="162"/>
      <c r="B65" s="89"/>
      <c r="C65" s="157"/>
      <c r="D65" s="57"/>
      <c r="E65" s="178"/>
      <c r="F65" s="179"/>
      <c r="G65" s="180"/>
      <c r="H65" s="57"/>
      <c r="I65" s="58"/>
      <c r="J65" s="59"/>
      <c r="K65" s="58"/>
      <c r="L65" s="60"/>
      <c r="M65" s="303"/>
      <c r="N65" s="303"/>
      <c r="O65" s="280"/>
      <c r="P65" s="280"/>
      <c r="Q65" s="290"/>
      <c r="R65" s="290"/>
      <c r="S65" s="290"/>
      <c r="T65" s="290"/>
    </row>
    <row r="66" spans="1:22" s="2" customFormat="1">
      <c r="A66" s="162"/>
      <c r="B66" s="89"/>
      <c r="C66" s="168"/>
      <c r="D66" s="57"/>
      <c r="E66" s="178"/>
      <c r="F66" s="179"/>
      <c r="G66" s="180"/>
      <c r="H66" s="57"/>
      <c r="I66" s="58"/>
      <c r="J66" s="59"/>
      <c r="K66" s="58"/>
      <c r="L66" s="60"/>
      <c r="M66" s="303"/>
      <c r="N66" s="303"/>
      <c r="O66" s="280"/>
      <c r="P66" s="280"/>
      <c r="Q66" s="290"/>
      <c r="R66" s="290"/>
      <c r="S66" s="290"/>
    </row>
    <row r="67" spans="1:22" s="2" customFormat="1">
      <c r="A67" s="162"/>
      <c r="B67" s="89"/>
      <c r="C67" s="168"/>
      <c r="D67" s="57"/>
      <c r="E67" s="57"/>
      <c r="F67" s="57"/>
      <c r="G67" s="180"/>
      <c r="H67" s="57"/>
      <c r="I67" s="58"/>
      <c r="J67" s="59"/>
      <c r="K67" s="58"/>
      <c r="L67" s="60"/>
      <c r="M67" s="303"/>
      <c r="N67" s="303"/>
      <c r="O67" s="280"/>
      <c r="P67" s="280"/>
      <c r="Q67" s="290"/>
      <c r="R67" s="290"/>
      <c r="S67" s="290"/>
    </row>
    <row r="68" spans="1:22" customFormat="1">
      <c r="A68" s="56"/>
      <c r="B68" s="89"/>
      <c r="C68" s="168"/>
      <c r="D68" s="57"/>
      <c r="E68" s="57"/>
      <c r="F68" s="58"/>
      <c r="G68" s="59"/>
      <c r="H68" s="58"/>
      <c r="I68" s="60"/>
      <c r="J68" s="2"/>
      <c r="K68" s="2"/>
      <c r="L68" s="280"/>
      <c r="M68" s="280"/>
      <c r="N68" s="2"/>
      <c r="O68" s="280"/>
      <c r="P68" s="306"/>
      <c r="Q68" s="290"/>
      <c r="R68" s="290"/>
      <c r="S68" s="290"/>
      <c r="T68" s="2"/>
    </row>
    <row r="69" spans="1:22" customFormat="1">
      <c r="A69" s="56"/>
      <c r="B69" s="89"/>
      <c r="C69" s="168"/>
      <c r="D69" s="57"/>
      <c r="E69" s="57"/>
      <c r="F69" s="58"/>
      <c r="G69" s="59"/>
      <c r="H69" s="58"/>
      <c r="I69" s="60"/>
      <c r="J69" s="2"/>
      <c r="K69" s="2"/>
      <c r="L69" s="280"/>
      <c r="M69" s="280"/>
      <c r="N69" s="16"/>
      <c r="O69" s="384"/>
      <c r="P69" s="384"/>
      <c r="Q69" s="384"/>
      <c r="R69" s="384"/>
      <c r="S69" s="384"/>
      <c r="T69" s="2"/>
      <c r="U69" s="16"/>
      <c r="V69" s="16"/>
    </row>
    <row r="70" spans="1:22" customFormat="1" ht="15.75" thickBot="1">
      <c r="A70" s="56"/>
      <c r="B70" s="16"/>
      <c r="C70" s="129"/>
      <c r="D70" s="38"/>
      <c r="E70" s="16"/>
      <c r="F70" s="16"/>
      <c r="G70" s="16"/>
      <c r="H70" s="58"/>
      <c r="I70" s="60"/>
      <c r="J70" s="2"/>
      <c r="K70" s="2"/>
      <c r="L70" s="280"/>
      <c r="M70" s="280"/>
      <c r="N70" s="16"/>
      <c r="O70" s="966"/>
      <c r="P70" s="966"/>
      <c r="Q70" s="966"/>
      <c r="R70" s="308"/>
      <c r="S70" s="308"/>
      <c r="T70" s="2"/>
      <c r="U70" s="16"/>
      <c r="V70" s="16"/>
    </row>
    <row r="71" spans="1:22" customFormat="1" ht="15.75" thickBot="1">
      <c r="A71" s="169"/>
      <c r="B71" s="170" t="s">
        <v>136</v>
      </c>
      <c r="C71" s="155"/>
      <c r="D71" s="297">
        <v>1.6</v>
      </c>
      <c r="E71" s="16"/>
      <c r="F71" s="16"/>
      <c r="G71" s="16"/>
      <c r="H71" s="58"/>
      <c r="I71" s="60"/>
      <c r="J71" s="2"/>
      <c r="K71" s="2"/>
      <c r="L71" s="280"/>
      <c r="M71" s="280"/>
      <c r="N71" s="16"/>
      <c r="O71" s="966"/>
      <c r="P71" s="966"/>
      <c r="Q71" s="966"/>
      <c r="R71" s="308"/>
      <c r="S71" s="308"/>
      <c r="T71" s="384"/>
      <c r="U71" s="16"/>
      <c r="V71" s="16"/>
    </row>
    <row r="72" spans="1:22" customFormat="1" ht="15.75" thickBot="1">
      <c r="A72" s="169"/>
      <c r="B72" s="170" t="s">
        <v>137</v>
      </c>
      <c r="C72" s="155"/>
      <c r="D72" s="297">
        <v>2</v>
      </c>
      <c r="E72" s="16"/>
      <c r="F72" s="16"/>
      <c r="G72" s="16"/>
      <c r="H72" s="58"/>
      <c r="I72" s="60"/>
      <c r="J72" s="2"/>
      <c r="K72" s="2"/>
      <c r="L72" s="280"/>
      <c r="M72" s="280"/>
      <c r="N72" s="16"/>
      <c r="O72" s="966"/>
      <c r="P72" s="966"/>
      <c r="Q72" s="966"/>
      <c r="R72" s="309"/>
      <c r="S72" s="308"/>
      <c r="T72" s="16"/>
      <c r="U72" s="16"/>
      <c r="V72" s="16"/>
    </row>
    <row r="73" spans="1:22" customFormat="1" ht="15.75" thickBot="1">
      <c r="A73" s="967" t="s">
        <v>86</v>
      </c>
      <c r="B73" s="968"/>
      <c r="C73" s="969"/>
      <c r="D73" s="298">
        <v>55</v>
      </c>
      <c r="E73" s="171" t="s">
        <v>22</v>
      </c>
      <c r="F73" s="58"/>
      <c r="G73" s="59"/>
      <c r="H73" s="58"/>
      <c r="I73" s="60"/>
      <c r="J73" s="2"/>
      <c r="K73" s="2"/>
      <c r="L73" s="280"/>
      <c r="M73" s="280"/>
      <c r="N73" s="16"/>
      <c r="O73" s="966"/>
      <c r="P73" s="966"/>
      <c r="Q73" s="966"/>
      <c r="R73" s="310"/>
      <c r="S73" s="308"/>
      <c r="T73" s="16"/>
      <c r="U73" s="16"/>
      <c r="V73" s="16"/>
    </row>
    <row r="74" spans="1:22" customFormat="1" ht="15.75" thickBot="1">
      <c r="A74" s="964" t="s">
        <v>140</v>
      </c>
      <c r="B74" s="965"/>
      <c r="C74" s="965"/>
      <c r="D74" s="299">
        <v>55</v>
      </c>
      <c r="E74" s="132"/>
      <c r="F74" s="133"/>
      <c r="G74" s="134"/>
      <c r="H74" s="133"/>
      <c r="I74" s="135"/>
      <c r="J74" s="139"/>
      <c r="K74" s="2"/>
      <c r="L74" s="280"/>
      <c r="M74" s="280"/>
      <c r="N74" s="16"/>
      <c r="O74" s="966"/>
      <c r="P74" s="966"/>
      <c r="Q74" s="966"/>
      <c r="R74" s="311"/>
      <c r="S74" s="36"/>
      <c r="T74" s="16"/>
      <c r="U74" s="16"/>
      <c r="V74" s="16"/>
    </row>
    <row r="75" spans="1:22" customFormat="1" ht="15.75" thickBot="1">
      <c r="A75" s="958" t="s">
        <v>141</v>
      </c>
      <c r="B75" s="959"/>
      <c r="C75" s="959"/>
      <c r="D75" s="299">
        <v>35</v>
      </c>
      <c r="E75" s="132"/>
      <c r="F75" s="133"/>
      <c r="G75" s="134"/>
      <c r="H75" s="133"/>
      <c r="I75" s="135"/>
      <c r="J75" s="139"/>
      <c r="K75" s="2"/>
      <c r="L75" s="280"/>
      <c r="M75" s="280"/>
      <c r="N75" s="16"/>
      <c r="O75" s="129"/>
      <c r="P75" s="312"/>
      <c r="Q75" s="36"/>
      <c r="R75" s="36"/>
      <c r="S75" s="36"/>
      <c r="T75" s="16"/>
      <c r="U75" s="16"/>
      <c r="V75" s="16"/>
    </row>
    <row r="76" spans="1:22" ht="15.75" thickBot="1">
      <c r="A76" s="958" t="s">
        <v>151</v>
      </c>
      <c r="B76" s="959"/>
      <c r="C76" s="959"/>
      <c r="D76" s="299">
        <v>0.8</v>
      </c>
      <c r="K76" s="961"/>
      <c r="L76" s="962"/>
      <c r="M76" s="963"/>
      <c r="N76" s="313"/>
      <c r="O76" s="314"/>
      <c r="P76" s="16"/>
      <c r="Q76" s="16"/>
      <c r="R76" s="16"/>
      <c r="S76" s="16"/>
    </row>
    <row r="77" spans="1:22" ht="15.75" thickBot="1">
      <c r="A77" s="958" t="s">
        <v>300</v>
      </c>
      <c r="B77" s="959"/>
      <c r="C77" s="959"/>
      <c r="D77" s="299">
        <v>90</v>
      </c>
      <c r="E77" s="17" t="s">
        <v>301</v>
      </c>
    </row>
    <row r="84" spans="1:17" ht="45">
      <c r="A84" s="948" t="s">
        <v>5</v>
      </c>
      <c r="B84" s="948"/>
      <c r="C84" s="188" t="s">
        <v>35</v>
      </c>
      <c r="D84" s="188" t="s">
        <v>40</v>
      </c>
      <c r="E84" s="188" t="s">
        <v>29</v>
      </c>
      <c r="F84" s="188" t="s">
        <v>30</v>
      </c>
      <c r="G84" s="189" t="s">
        <v>78</v>
      </c>
      <c r="H84" s="188" t="s">
        <v>59</v>
      </c>
      <c r="I84" s="188" t="s">
        <v>58</v>
      </c>
      <c r="J84" s="190" t="s">
        <v>13</v>
      </c>
      <c r="K84" s="190" t="s">
        <v>28</v>
      </c>
      <c r="L84" s="190" t="s">
        <v>26</v>
      </c>
      <c r="M84" s="147" t="s">
        <v>166</v>
      </c>
      <c r="N84" s="80" t="s">
        <v>84</v>
      </c>
      <c r="O84" s="80" t="s">
        <v>85</v>
      </c>
      <c r="P84" s="80"/>
      <c r="Q84" s="80"/>
    </row>
    <row r="85" spans="1:17" ht="18.75">
      <c r="A85" s="804"/>
      <c r="B85" s="804"/>
      <c r="C85" s="255"/>
      <c r="D85" s="255"/>
      <c r="E85" s="256"/>
      <c r="F85" s="256"/>
      <c r="G85" s="256"/>
      <c r="H85" s="256"/>
      <c r="I85" s="257"/>
      <c r="J85" s="514">
        <v>1</v>
      </c>
      <c r="K85" s="505">
        <v>2</v>
      </c>
      <c r="L85" s="505">
        <v>3</v>
      </c>
      <c r="M85" s="514">
        <v>4</v>
      </c>
      <c r="N85" s="506">
        <v>5</v>
      </c>
      <c r="O85" s="506">
        <v>6</v>
      </c>
      <c r="P85" s="186" t="s">
        <v>61</v>
      </c>
      <c r="Q85" s="187" t="s">
        <v>23</v>
      </c>
    </row>
    <row r="86" spans="1:17" ht="15.75">
      <c r="A86" s="488" t="s">
        <v>100</v>
      </c>
      <c r="B86" s="488" t="s">
        <v>288</v>
      </c>
      <c r="C86" s="255"/>
      <c r="D86" s="255"/>
      <c r="E86" s="417" t="s">
        <v>368</v>
      </c>
      <c r="F86" s="417" t="s">
        <v>368</v>
      </c>
      <c r="G86" s="256"/>
      <c r="H86" s="256"/>
      <c r="I86" s="257"/>
      <c r="J86" s="514">
        <v>1</v>
      </c>
      <c r="K86" s="505">
        <v>2</v>
      </c>
      <c r="L86" s="505">
        <v>3</v>
      </c>
      <c r="M86" s="514">
        <v>4</v>
      </c>
      <c r="N86" s="195">
        <v>5</v>
      </c>
      <c r="O86" s="195">
        <v>6</v>
      </c>
      <c r="P86" s="507">
        <v>26</v>
      </c>
      <c r="Q86" s="507">
        <v>28</v>
      </c>
    </row>
    <row r="87" spans="1:17" ht="15.75">
      <c r="A87" s="488" t="s">
        <v>100</v>
      </c>
      <c r="B87" s="488" t="s">
        <v>289</v>
      </c>
      <c r="C87" s="255"/>
      <c r="D87" s="255"/>
      <c r="E87" s="256"/>
      <c r="F87" s="256"/>
      <c r="G87" s="256"/>
      <c r="H87" s="256"/>
      <c r="I87" s="257"/>
      <c r="J87" s="514"/>
      <c r="K87" s="505"/>
      <c r="L87" s="505"/>
      <c r="M87" s="417" t="s">
        <v>368</v>
      </c>
      <c r="N87" s="195">
        <v>5</v>
      </c>
      <c r="O87" s="195">
        <v>6</v>
      </c>
      <c r="P87" s="507">
        <v>27</v>
      </c>
      <c r="Q87" s="507">
        <v>29</v>
      </c>
    </row>
    <row r="88" spans="1:17">
      <c r="A88" s="56"/>
      <c r="B88" s="56"/>
      <c r="C88" s="56"/>
      <c r="D88" s="56"/>
      <c r="E88" s="182"/>
      <c r="F88" s="182"/>
      <c r="G88" s="57"/>
      <c r="H88" s="57"/>
      <c r="I88" s="57"/>
      <c r="J88" s="58"/>
      <c r="K88" s="59"/>
      <c r="L88" s="58"/>
      <c r="M88" s="60"/>
      <c r="N88" s="129"/>
      <c r="O88" s="129"/>
    </row>
    <row r="89" spans="1:17">
      <c r="A89" s="56"/>
      <c r="B89" s="56"/>
      <c r="C89" s="56"/>
      <c r="D89" s="56"/>
      <c r="E89" s="182"/>
      <c r="F89" s="182"/>
      <c r="G89" s="57"/>
      <c r="H89" s="57"/>
      <c r="I89" s="57"/>
      <c r="J89" s="58"/>
      <c r="K89" s="59"/>
      <c r="L89" s="58"/>
      <c r="M89" s="60"/>
      <c r="N89" s="129"/>
      <c r="O89" s="129"/>
    </row>
    <row r="90" spans="1:17" ht="15.75" thickBot="1"/>
    <row r="91" spans="1:17">
      <c r="L91" s="949">
        <v>49</v>
      </c>
      <c r="M91" s="950"/>
      <c r="N91" s="950"/>
      <c r="O91" s="950"/>
      <c r="P91" s="950"/>
      <c r="Q91" s="951"/>
    </row>
    <row r="92" spans="1:17">
      <c r="L92" s="952"/>
      <c r="M92" s="953"/>
      <c r="N92" s="953"/>
      <c r="O92" s="953"/>
      <c r="P92" s="953"/>
      <c r="Q92" s="954"/>
    </row>
    <row r="93" spans="1:17" ht="15.75" thickBot="1">
      <c r="L93" s="955"/>
      <c r="M93" s="956"/>
      <c r="N93" s="956"/>
      <c r="O93" s="956"/>
      <c r="P93" s="956"/>
      <c r="Q93" s="957"/>
    </row>
  </sheetData>
  <mergeCells count="51">
    <mergeCell ref="G5:J6"/>
    <mergeCell ref="O73:Q73"/>
    <mergeCell ref="O72:Q72"/>
    <mergeCell ref="C5:E6"/>
    <mergeCell ref="K5:M6"/>
    <mergeCell ref="N5:O6"/>
    <mergeCell ref="K8:M9"/>
    <mergeCell ref="N8:O9"/>
    <mergeCell ref="P8:P9"/>
    <mergeCell ref="C13:E14"/>
    <mergeCell ref="F13:G14"/>
    <mergeCell ref="H13:H14"/>
    <mergeCell ref="M14:N17"/>
    <mergeCell ref="O14:P15"/>
    <mergeCell ref="Q14:R15"/>
    <mergeCell ref="O16:P17"/>
    <mergeCell ref="Q16:R17"/>
    <mergeCell ref="C17:E18"/>
    <mergeCell ref="F17:G18"/>
    <mergeCell ref="M18:N21"/>
    <mergeCell ref="Q18:R19"/>
    <mergeCell ref="Q20:R21"/>
    <mergeCell ref="C21:E22"/>
    <mergeCell ref="F21:G22"/>
    <mergeCell ref="H21:H22"/>
    <mergeCell ref="C25:E26"/>
    <mergeCell ref="F25:G26"/>
    <mergeCell ref="H25:H26"/>
    <mergeCell ref="M25:P27"/>
    <mergeCell ref="A44:B44"/>
    <mergeCell ref="A76:C76"/>
    <mergeCell ref="O70:Q70"/>
    <mergeCell ref="O71:Q71"/>
    <mergeCell ref="A73:C73"/>
    <mergeCell ref="K54:P56"/>
    <mergeCell ref="A84:B84"/>
    <mergeCell ref="A85:B85"/>
    <mergeCell ref="L91:Q93"/>
    <mergeCell ref="A77:C77"/>
    <mergeCell ref="O18:O19"/>
    <mergeCell ref="O20:O21"/>
    <mergeCell ref="P18:P19"/>
    <mergeCell ref="P20:P21"/>
    <mergeCell ref="A45:B45"/>
    <mergeCell ref="P43:Q43"/>
    <mergeCell ref="K76:M76"/>
    <mergeCell ref="A74:C74"/>
    <mergeCell ref="A75:C75"/>
    <mergeCell ref="A62:C62"/>
    <mergeCell ref="A63:C63"/>
    <mergeCell ref="O74:Q74"/>
  </mergeCells>
  <conditionalFormatting sqref="F25:G26">
    <cfRule type="cellIs" dxfId="6" priority="1" operator="greaterThan">
      <formula>55</formula>
    </cfRule>
  </conditionalFormatting>
  <dataValidations count="1">
    <dataValidation type="list" allowBlank="1" showInputMessage="1" showErrorMessage="1" promptTitle="Select a value " sqref="F17">
      <formula1>emissivity</formula1>
    </dataValidation>
  </dataValidations>
  <pageMargins left="0.7" right="0.7" top="0.75" bottom="0.75" header="0.3" footer="0.3"/>
  <pageSetup paperSize="9" orientation="portrait" verticalDpi="300" r:id="rId1"/>
  <drawing r:id="rId2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FF5DE0-8358-40CE-8BAD-529BCA570C04}">
          <x14:formula1>
            <xm:f>'Default values '!$C$2:$C$10</xm:f>
          </x14:formula1>
          <xm:sqref>N5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X24"/>
  <sheetViews>
    <sheetView topLeftCell="A11" zoomScale="90" zoomScaleNormal="90" workbookViewId="0">
      <selection activeCell="AX14" sqref="AX14:AX15"/>
    </sheetView>
  </sheetViews>
  <sheetFormatPr baseColWidth="10" defaultColWidth="8.85546875" defaultRowHeight="12"/>
  <cols>
    <col min="1" max="1" width="2.5703125" style="386" customWidth="1"/>
    <col min="2" max="2" width="4" style="386" customWidth="1"/>
    <col min="3" max="3" width="3.7109375" style="386" customWidth="1"/>
    <col min="4" max="4" width="4" style="386" customWidth="1"/>
    <col min="5" max="5" width="3.7109375" style="386" customWidth="1"/>
    <col min="6" max="6" width="4" style="386" customWidth="1"/>
    <col min="7" max="7" width="3.7109375" style="386" customWidth="1"/>
    <col min="8" max="8" width="4" style="386" customWidth="1"/>
    <col min="9" max="9" width="3.7109375" style="386" customWidth="1"/>
    <col min="10" max="10" width="4" style="386" customWidth="1"/>
    <col min="11" max="11" width="3.7109375" style="386" customWidth="1"/>
    <col min="12" max="12" width="4" style="386" customWidth="1"/>
    <col min="13" max="13" width="3.7109375" style="386" customWidth="1"/>
    <col min="14" max="14" width="4" style="386" customWidth="1"/>
    <col min="15" max="15" width="3.7109375" style="386" customWidth="1"/>
    <col min="16" max="16" width="4" style="386" customWidth="1"/>
    <col min="17" max="26" width="3.7109375" style="386" customWidth="1"/>
    <col min="27" max="27" width="4.7109375" style="386" customWidth="1"/>
    <col min="28" max="28" width="5.7109375" style="386" customWidth="1"/>
    <col min="29" max="29" width="3.28515625" style="386" customWidth="1"/>
    <col min="30" max="30" width="5.7109375" style="386" customWidth="1"/>
    <col min="31" max="31" width="3.28515625" style="386" customWidth="1"/>
    <col min="32" max="32" width="5.42578125" style="386" customWidth="1"/>
    <col min="33" max="33" width="3.42578125" style="386" customWidth="1"/>
    <col min="34" max="34" width="5.42578125" style="386" customWidth="1"/>
    <col min="35" max="35" width="3.28515625" style="386" customWidth="1"/>
    <col min="36" max="36" width="5.7109375" style="386" customWidth="1"/>
    <col min="37" max="37" width="4.7109375" style="386" customWidth="1"/>
    <col min="38" max="38" width="5.7109375" style="386" customWidth="1"/>
    <col min="39" max="39" width="2.7109375" style="386" customWidth="1"/>
    <col min="40" max="40" width="5.7109375" style="386" customWidth="1"/>
    <col min="41" max="41" width="2.7109375" style="386" customWidth="1"/>
    <col min="42" max="42" width="5.7109375" style="386" customWidth="1"/>
    <col min="43" max="43" width="2.7109375" style="386" customWidth="1"/>
    <col min="44" max="44" width="5.7109375" style="386" customWidth="1"/>
    <col min="45" max="45" width="2.7109375" style="386" customWidth="1"/>
    <col min="46" max="46" width="5.7109375" style="386" customWidth="1"/>
    <col min="47" max="47" width="2.7109375" style="386" customWidth="1"/>
    <col min="48" max="48" width="5.7109375" style="386" customWidth="1"/>
    <col min="49" max="49" width="4.7109375" style="386" customWidth="1"/>
    <col min="50" max="50" width="11.28515625" style="386" customWidth="1"/>
    <col min="51" max="51" width="3.7109375" style="386" customWidth="1"/>
    <col min="52" max="16384" width="8.85546875" style="386"/>
  </cols>
  <sheetData>
    <row r="1" spans="1:50" ht="15.75">
      <c r="B1" s="413" t="s">
        <v>278</v>
      </c>
    </row>
    <row r="3" spans="1:50" ht="12.75">
      <c r="B3" s="411" t="s">
        <v>279</v>
      </c>
      <c r="G3" s="412"/>
      <c r="H3" s="408"/>
      <c r="I3" s="408"/>
      <c r="J3" s="408"/>
      <c r="L3" s="411" t="s">
        <v>280</v>
      </c>
      <c r="O3" s="412"/>
      <c r="P3" s="409"/>
      <c r="Q3" s="409"/>
      <c r="R3" s="409"/>
      <c r="T3" s="411" t="s">
        <v>281</v>
      </c>
      <c r="Z3" s="400"/>
      <c r="AA3" s="400"/>
      <c r="AB3" s="400"/>
      <c r="AE3" s="411" t="s">
        <v>282</v>
      </c>
      <c r="AF3" s="411"/>
      <c r="AG3" s="411"/>
      <c r="AK3" s="393"/>
      <c r="AL3" s="393"/>
      <c r="AM3" s="393"/>
      <c r="AP3" s="411" t="s">
        <v>283</v>
      </c>
      <c r="AS3" s="394"/>
      <c r="AT3" s="394"/>
      <c r="AU3" s="394"/>
      <c r="AV3" s="411"/>
    </row>
    <row r="5" spans="1:50" ht="12.75" thickBot="1">
      <c r="A5" s="406"/>
      <c r="B5" s="406"/>
      <c r="C5" s="406"/>
      <c r="D5" s="406"/>
      <c r="E5" s="406"/>
      <c r="F5" s="406"/>
      <c r="G5" s="406"/>
      <c r="H5" s="406"/>
      <c r="I5" s="406"/>
      <c r="J5" s="406"/>
      <c r="K5" s="406"/>
      <c r="L5" s="406"/>
      <c r="M5" s="406"/>
      <c r="N5" s="406"/>
      <c r="O5" s="406"/>
      <c r="P5" s="406"/>
      <c r="Q5" s="406"/>
      <c r="R5" s="406"/>
      <c r="S5" s="406"/>
      <c r="T5" s="406"/>
      <c r="U5" s="406"/>
      <c r="V5" s="406"/>
      <c r="W5" s="406"/>
      <c r="X5" s="406"/>
      <c r="Y5" s="406"/>
      <c r="Z5" s="406"/>
      <c r="AA5" s="406"/>
      <c r="AB5" s="406"/>
      <c r="AC5" s="406"/>
      <c r="AD5" s="406"/>
      <c r="AE5" s="406"/>
      <c r="AF5" s="406"/>
      <c r="AG5" s="406"/>
      <c r="AH5" s="406"/>
      <c r="AI5" s="406"/>
      <c r="AJ5" s="406"/>
      <c r="AK5" s="406"/>
      <c r="AL5" s="406"/>
      <c r="AM5" s="406"/>
      <c r="AN5" s="406"/>
      <c r="AO5" s="406"/>
      <c r="AP5" s="406"/>
      <c r="AQ5" s="406"/>
      <c r="AR5" s="406"/>
      <c r="AS5" s="406"/>
      <c r="AT5" s="406"/>
      <c r="AU5" s="406"/>
      <c r="AV5" s="406"/>
      <c r="AW5" s="406"/>
      <c r="AX5" s="406"/>
    </row>
    <row r="6" spans="1:50" ht="12.75" thickBot="1"/>
    <row r="7" spans="1:50" ht="15" customHeight="1" thickBot="1">
      <c r="B7" s="688" t="s">
        <v>268</v>
      </c>
      <c r="C7" s="689"/>
      <c r="D7" s="689"/>
      <c r="E7" s="689"/>
      <c r="F7" s="689"/>
      <c r="G7" s="689"/>
      <c r="H7" s="689"/>
      <c r="I7" s="689"/>
      <c r="J7" s="689"/>
      <c r="K7" s="689"/>
      <c r="L7" s="689"/>
      <c r="M7" s="689"/>
      <c r="N7" s="689"/>
      <c r="O7" s="689"/>
      <c r="P7" s="689"/>
      <c r="Q7" s="689"/>
      <c r="R7" s="689"/>
      <c r="S7" s="689"/>
      <c r="T7" s="689"/>
      <c r="U7" s="689"/>
      <c r="V7" s="689"/>
      <c r="W7" s="689"/>
      <c r="X7" s="689"/>
      <c r="Y7" s="689"/>
      <c r="Z7" s="690"/>
      <c r="AB7" s="685" t="s">
        <v>269</v>
      </c>
      <c r="AC7" s="686"/>
      <c r="AD7" s="686"/>
      <c r="AE7" s="686"/>
      <c r="AF7" s="686"/>
      <c r="AG7" s="686"/>
      <c r="AH7" s="686"/>
      <c r="AI7" s="686"/>
      <c r="AJ7" s="687"/>
      <c r="AL7" s="682" t="s">
        <v>270</v>
      </c>
      <c r="AM7" s="683"/>
      <c r="AN7" s="683"/>
      <c r="AO7" s="683"/>
      <c r="AP7" s="683"/>
      <c r="AQ7" s="683"/>
      <c r="AR7" s="683"/>
      <c r="AS7" s="683"/>
      <c r="AT7" s="683"/>
      <c r="AU7" s="683"/>
      <c r="AV7" s="684"/>
      <c r="AX7" s="405" t="s">
        <v>272</v>
      </c>
    </row>
    <row r="9" spans="1:50" ht="12.75" thickBot="1">
      <c r="V9" s="389"/>
      <c r="W9" s="389"/>
      <c r="X9" s="389"/>
    </row>
    <row r="10" spans="1:50" s="388" customFormat="1" ht="59.45" customHeight="1" thickBot="1">
      <c r="B10" s="676" t="s">
        <v>297</v>
      </c>
      <c r="C10" s="677"/>
      <c r="D10" s="677"/>
      <c r="E10" s="677"/>
      <c r="F10" s="677"/>
      <c r="G10" s="677"/>
      <c r="H10" s="677"/>
      <c r="I10" s="677"/>
      <c r="J10" s="678"/>
      <c r="L10" s="676" t="s">
        <v>211</v>
      </c>
      <c r="M10" s="677"/>
      <c r="N10" s="677"/>
      <c r="O10" s="677"/>
      <c r="P10" s="677"/>
      <c r="Q10" s="677"/>
      <c r="R10" s="677"/>
      <c r="S10" s="677"/>
      <c r="T10" s="678"/>
      <c r="V10" s="679" t="s">
        <v>263</v>
      </c>
      <c r="W10" s="680"/>
      <c r="X10" s="680"/>
      <c r="Y10" s="680"/>
      <c r="Z10" s="681"/>
      <c r="AB10" s="396" t="s">
        <v>276</v>
      </c>
      <c r="AC10" s="392"/>
      <c r="AD10" s="396" t="s">
        <v>265</v>
      </c>
      <c r="AE10" s="392"/>
      <c r="AF10" s="396" t="s">
        <v>251</v>
      </c>
      <c r="AG10" s="392"/>
      <c r="AH10" s="396" t="s">
        <v>309</v>
      </c>
      <c r="AI10" s="392"/>
      <c r="AJ10" s="396" t="s">
        <v>187</v>
      </c>
      <c r="AK10" s="392"/>
      <c r="AL10" s="517" t="s">
        <v>215</v>
      </c>
      <c r="AM10" s="392"/>
      <c r="AN10" s="525" t="s">
        <v>254</v>
      </c>
      <c r="AO10" s="392"/>
      <c r="AP10" s="517" t="s">
        <v>374</v>
      </c>
      <c r="AQ10" s="392"/>
      <c r="AR10" s="397" t="s">
        <v>310</v>
      </c>
      <c r="AS10" s="392"/>
      <c r="AT10" s="398" t="s">
        <v>266</v>
      </c>
      <c r="AU10" s="392"/>
      <c r="AV10" s="398" t="s">
        <v>267</v>
      </c>
      <c r="AX10" s="523" t="s">
        <v>380</v>
      </c>
    </row>
    <row r="11" spans="1:50" ht="144" thickBot="1">
      <c r="B11" s="540" t="s">
        <v>427</v>
      </c>
      <c r="C11" s="390"/>
      <c r="D11" s="540" t="s">
        <v>117</v>
      </c>
      <c r="E11" s="390"/>
      <c r="F11" s="540" t="s">
        <v>119</v>
      </c>
      <c r="G11" s="390"/>
      <c r="H11" s="540" t="s">
        <v>262</v>
      </c>
      <c r="I11" s="390"/>
      <c r="J11" s="538"/>
      <c r="K11" s="391"/>
      <c r="L11" s="541" t="s">
        <v>428</v>
      </c>
      <c r="M11" s="391"/>
      <c r="N11" s="541" t="s">
        <v>271</v>
      </c>
      <c r="O11" s="391"/>
      <c r="P11" s="539"/>
      <c r="Q11" s="391"/>
      <c r="R11" s="542" t="s">
        <v>215</v>
      </c>
      <c r="S11" s="391"/>
      <c r="T11" s="518"/>
      <c r="U11" s="391"/>
      <c r="V11" s="521" t="s">
        <v>264</v>
      </c>
      <c r="W11" s="519"/>
      <c r="X11" s="517" t="s">
        <v>215</v>
      </c>
      <c r="Y11" s="391"/>
      <c r="Z11" s="517" t="s">
        <v>374</v>
      </c>
      <c r="AD11" s="524" t="s">
        <v>380</v>
      </c>
      <c r="AF11" s="524" t="s">
        <v>380</v>
      </c>
      <c r="AH11" s="524" t="s">
        <v>380</v>
      </c>
      <c r="AJ11" s="524" t="s">
        <v>380</v>
      </c>
      <c r="AR11" s="524" t="s">
        <v>380</v>
      </c>
      <c r="AT11" s="524" t="s">
        <v>380</v>
      </c>
      <c r="AV11" s="524" t="s">
        <v>380</v>
      </c>
    </row>
    <row r="12" spans="1:50" ht="12.75" thickBot="1"/>
    <row r="13" spans="1:50" s="391" customFormat="1" ht="71.45" customHeight="1" thickBot="1">
      <c r="B13" s="410" t="s">
        <v>277</v>
      </c>
      <c r="C13" s="403"/>
      <c r="D13" s="410" t="s">
        <v>277</v>
      </c>
      <c r="E13" s="403"/>
      <c r="F13" s="410" t="s">
        <v>277</v>
      </c>
      <c r="G13" s="403"/>
      <c r="H13" s="410" t="s">
        <v>277</v>
      </c>
      <c r="I13" s="403"/>
      <c r="J13" s="407"/>
      <c r="K13" s="403"/>
      <c r="L13" s="410" t="s">
        <v>277</v>
      </c>
      <c r="M13" s="403"/>
      <c r="N13" s="410" t="s">
        <v>277</v>
      </c>
      <c r="O13" s="403"/>
      <c r="P13" s="407"/>
      <c r="Q13" s="395"/>
      <c r="R13" s="404"/>
      <c r="S13" s="395"/>
      <c r="T13" s="404"/>
      <c r="U13" s="395"/>
      <c r="V13" s="522" t="s">
        <v>379</v>
      </c>
      <c r="W13" s="520"/>
      <c r="X13" s="520"/>
      <c r="Y13" s="395"/>
      <c r="Z13" s="404"/>
      <c r="AB13" s="522" t="s">
        <v>379</v>
      </c>
      <c r="AD13" s="401" t="s">
        <v>273</v>
      </c>
      <c r="AE13" s="399"/>
      <c r="AF13" s="401" t="s">
        <v>274</v>
      </c>
      <c r="AG13" s="399"/>
      <c r="AH13" s="401" t="s">
        <v>274</v>
      </c>
      <c r="AI13" s="399"/>
      <c r="AJ13" s="401" t="s">
        <v>274</v>
      </c>
      <c r="AL13" s="402" t="s">
        <v>275</v>
      </c>
      <c r="AN13" s="402" t="s">
        <v>275</v>
      </c>
      <c r="AP13" s="402" t="s">
        <v>275</v>
      </c>
      <c r="AR13" s="402" t="s">
        <v>275</v>
      </c>
      <c r="AT13" s="402" t="s">
        <v>275</v>
      </c>
      <c r="AV13" s="402" t="s">
        <v>275</v>
      </c>
    </row>
    <row r="15" spans="1:50" s="395" customFormat="1" ht="18.600000000000001" customHeight="1">
      <c r="B15" s="400"/>
      <c r="C15" s="386"/>
      <c r="D15" s="400"/>
      <c r="E15" s="386"/>
      <c r="F15" s="400"/>
      <c r="G15" s="386"/>
      <c r="H15" s="400"/>
      <c r="I15" s="386"/>
      <c r="J15" s="400"/>
      <c r="K15" s="386"/>
      <c r="L15" s="400"/>
      <c r="M15" s="386"/>
      <c r="N15" s="400"/>
      <c r="O15" s="386"/>
      <c r="P15" s="400"/>
      <c r="Q15" s="386"/>
      <c r="R15" s="386"/>
      <c r="S15" s="386"/>
      <c r="T15" s="386"/>
      <c r="U15" s="386"/>
      <c r="V15" s="386"/>
      <c r="W15" s="386"/>
      <c r="X15" s="386"/>
      <c r="Y15" s="386"/>
      <c r="Z15" s="386"/>
    </row>
    <row r="17" spans="2:50">
      <c r="B17" s="393"/>
      <c r="D17" s="393"/>
      <c r="F17" s="393"/>
      <c r="H17" s="393"/>
      <c r="J17" s="393"/>
      <c r="L17" s="393"/>
      <c r="N17" s="393"/>
      <c r="P17" s="393"/>
    </row>
    <row r="18" spans="2:50" ht="12.75" thickBot="1"/>
    <row r="19" spans="2:50" ht="12.75" thickBot="1">
      <c r="B19" s="394"/>
      <c r="D19" s="394"/>
      <c r="F19" s="394"/>
      <c r="H19" s="394"/>
      <c r="J19" s="394"/>
      <c r="L19" s="394"/>
      <c r="N19" s="394"/>
      <c r="P19" s="394"/>
      <c r="AK19" s="387"/>
    </row>
    <row r="20" spans="2:50">
      <c r="AC20" s="403"/>
    </row>
    <row r="21" spans="2:50" ht="12" customHeight="1">
      <c r="B21" s="694" t="s">
        <v>438</v>
      </c>
      <c r="C21" s="694"/>
      <c r="D21" s="694"/>
      <c r="E21" s="694"/>
      <c r="F21" s="694"/>
      <c r="G21" s="694"/>
      <c r="H21" s="694"/>
      <c r="I21" s="694"/>
      <c r="J21" s="694"/>
      <c r="K21" s="694"/>
      <c r="L21" s="694"/>
      <c r="M21" s="694"/>
      <c r="N21" s="694"/>
      <c r="O21" s="694"/>
      <c r="P21" s="694"/>
      <c r="Q21" s="694"/>
      <c r="R21" s="694"/>
      <c r="S21" s="694"/>
      <c r="T21" s="694"/>
      <c r="U21" s="694"/>
      <c r="V21" s="694"/>
      <c r="W21" s="694"/>
      <c r="X21" s="694"/>
      <c r="Y21" s="694"/>
      <c r="Z21" s="694"/>
      <c r="AB21" s="691" t="s">
        <v>253</v>
      </c>
      <c r="AD21" s="691" t="s">
        <v>441</v>
      </c>
      <c r="AF21" s="691" t="s">
        <v>251</v>
      </c>
      <c r="AH21" s="691" t="s">
        <v>309</v>
      </c>
      <c r="AJ21" s="691" t="s">
        <v>447</v>
      </c>
      <c r="AL21" s="691" t="s">
        <v>439</v>
      </c>
      <c r="AN21" s="691" t="s">
        <v>254</v>
      </c>
      <c r="AP21" s="691" t="s">
        <v>440</v>
      </c>
      <c r="AR21" s="691" t="s">
        <v>312</v>
      </c>
      <c r="AT21" s="691" t="s">
        <v>442</v>
      </c>
      <c r="AV21" s="691" t="s">
        <v>443</v>
      </c>
      <c r="AX21" s="691" t="s">
        <v>447</v>
      </c>
    </row>
    <row r="22" spans="2:50" ht="34.9" customHeight="1">
      <c r="B22" s="694"/>
      <c r="C22" s="694"/>
      <c r="D22" s="694"/>
      <c r="E22" s="694"/>
      <c r="F22" s="694"/>
      <c r="G22" s="694"/>
      <c r="H22" s="694"/>
      <c r="I22" s="694"/>
      <c r="J22" s="694"/>
      <c r="K22" s="694"/>
      <c r="L22" s="694"/>
      <c r="M22" s="694"/>
      <c r="N22" s="694"/>
      <c r="O22" s="694"/>
      <c r="P22" s="694"/>
      <c r="Q22" s="694"/>
      <c r="R22" s="694"/>
      <c r="S22" s="694"/>
      <c r="T22" s="694"/>
      <c r="U22" s="694"/>
      <c r="V22" s="694"/>
      <c r="W22" s="694"/>
      <c r="X22" s="694"/>
      <c r="Y22" s="694"/>
      <c r="Z22" s="694"/>
      <c r="AB22" s="692"/>
      <c r="AD22" s="692"/>
      <c r="AF22" s="692"/>
      <c r="AH22" s="692"/>
      <c r="AJ22" s="692"/>
      <c r="AL22" s="692"/>
      <c r="AN22" s="692"/>
      <c r="AP22" s="692"/>
      <c r="AR22" s="692"/>
      <c r="AT22" s="692"/>
      <c r="AV22" s="692"/>
      <c r="AX22" s="692"/>
    </row>
    <row r="23" spans="2:50">
      <c r="B23" s="694"/>
      <c r="C23" s="694"/>
      <c r="D23" s="694"/>
      <c r="E23" s="694"/>
      <c r="F23" s="694"/>
      <c r="G23" s="694"/>
      <c r="H23" s="694"/>
      <c r="I23" s="694"/>
      <c r="J23" s="694"/>
      <c r="K23" s="694"/>
      <c r="L23" s="694"/>
      <c r="M23" s="694"/>
      <c r="N23" s="694"/>
      <c r="O23" s="694"/>
      <c r="P23" s="694"/>
      <c r="Q23" s="694"/>
      <c r="R23" s="694"/>
      <c r="S23" s="694"/>
      <c r="T23" s="694"/>
      <c r="U23" s="694"/>
      <c r="V23" s="694"/>
      <c r="W23" s="694"/>
      <c r="X23" s="694"/>
      <c r="Y23" s="694"/>
      <c r="Z23" s="694"/>
      <c r="AB23" s="692"/>
      <c r="AD23" s="692"/>
      <c r="AF23" s="692"/>
      <c r="AH23" s="692"/>
      <c r="AJ23" s="692"/>
      <c r="AL23" s="692"/>
      <c r="AN23" s="692"/>
      <c r="AP23" s="692"/>
      <c r="AR23" s="692"/>
      <c r="AT23" s="692"/>
      <c r="AV23" s="692"/>
      <c r="AX23" s="692"/>
    </row>
    <row r="24" spans="2:50" ht="12" customHeight="1">
      <c r="B24" s="694"/>
      <c r="C24" s="694"/>
      <c r="D24" s="694"/>
      <c r="E24" s="694"/>
      <c r="F24" s="694"/>
      <c r="G24" s="694"/>
      <c r="H24" s="694"/>
      <c r="I24" s="694"/>
      <c r="J24" s="694"/>
      <c r="K24" s="694"/>
      <c r="L24" s="694"/>
      <c r="M24" s="694"/>
      <c r="N24" s="694"/>
      <c r="O24" s="694"/>
      <c r="P24" s="694"/>
      <c r="Q24" s="694"/>
      <c r="R24" s="694"/>
      <c r="S24" s="694"/>
      <c r="T24" s="694"/>
      <c r="U24" s="694"/>
      <c r="V24" s="694"/>
      <c r="W24" s="694"/>
      <c r="X24" s="694"/>
      <c r="Y24" s="694"/>
      <c r="Z24" s="694"/>
      <c r="AB24" s="693"/>
      <c r="AD24" s="693"/>
      <c r="AF24" s="693"/>
      <c r="AH24" s="693"/>
      <c r="AJ24" s="693"/>
      <c r="AL24" s="693"/>
      <c r="AN24" s="693"/>
      <c r="AP24" s="693"/>
      <c r="AR24" s="693"/>
      <c r="AT24" s="693"/>
      <c r="AV24" s="693"/>
      <c r="AX24" s="693"/>
    </row>
  </sheetData>
  <mergeCells count="19">
    <mergeCell ref="AX21:AX24"/>
    <mergeCell ref="AH21:AH24"/>
    <mergeCell ref="AJ21:AJ24"/>
    <mergeCell ref="AL21:AL24"/>
    <mergeCell ref="AN21:AN24"/>
    <mergeCell ref="AP21:AP24"/>
    <mergeCell ref="AR21:AR24"/>
    <mergeCell ref="AL7:AV7"/>
    <mergeCell ref="B10:J10"/>
    <mergeCell ref="L10:T10"/>
    <mergeCell ref="V10:Z10"/>
    <mergeCell ref="AB21:AB24"/>
    <mergeCell ref="B21:Z24"/>
    <mergeCell ref="AD21:AD24"/>
    <mergeCell ref="AF21:AF24"/>
    <mergeCell ref="B7:Z7"/>
    <mergeCell ref="AB7:AJ7"/>
    <mergeCell ref="AT21:AT24"/>
    <mergeCell ref="AV21:AV24"/>
  </mergeCells>
  <hyperlinks>
    <hyperlink ref="B11" location="Surface!A1" display="Surface"/>
    <hyperlink ref="D11" location="Pipe!A1" display="Pipe"/>
    <hyperlink ref="F11" location="Valve!A1" display="Valve"/>
    <hyperlink ref="H11" location="Flange!A1" display="Flanges"/>
    <hyperlink ref="L11" location="'I Surface'!A1" display="Insulated Surface"/>
    <hyperlink ref="N11" location="'I Pipe'!A1" display="Insulated Pipe"/>
    <hyperlink ref="R11" location="Damaged!A1" display="Damaged "/>
    <hyperlink ref="X11" location="Damaged!A1" display="Damaged "/>
    <hyperlink ref="Z11" location="Condensation!A1" display="Condensation "/>
    <hyperlink ref="V13" location="'Cold energy'!A1" display="Insulation*"/>
    <hyperlink ref="AB13" location="'Cold energy'!A1" display="Insulation*"/>
    <hyperlink ref="AX10" location="'basic report '!A1" display="basic report "/>
    <hyperlink ref="AD11" location="'basic report '!A1" display="basic report "/>
    <hyperlink ref="AF11" location="'basic report '!A1" display="basic report "/>
    <hyperlink ref="AH11" location="'basic report '!A1" display="basic report "/>
    <hyperlink ref="AJ11" location="'basic report '!A1" display="basic report "/>
    <hyperlink ref="AR11" location="'basic report '!A1" display="basic report "/>
    <hyperlink ref="AT11" location="'basic report '!A1" display="basic report "/>
    <hyperlink ref="AV11" location="'basic report '!A1" display="basic report "/>
    <hyperlink ref="AP10" location="Condensation!A1" display="Condensation "/>
    <hyperlink ref="AN10" location="Leakage!A1" display="Leakage"/>
    <hyperlink ref="AL10" location="Damaged!A1" display="Damaged "/>
  </hyperlink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C136"/>
  <sheetViews>
    <sheetView tabSelected="1" topLeftCell="A31" workbookViewId="0">
      <selection activeCell="D69" sqref="D69"/>
    </sheetView>
  </sheetViews>
  <sheetFormatPr baseColWidth="10" defaultColWidth="8.85546875" defaultRowHeight="15"/>
  <cols>
    <col min="1" max="2" width="5.28515625" style="17" customWidth="1"/>
    <col min="3" max="3" width="13" style="17" customWidth="1"/>
    <col min="4" max="4" width="8.7109375" style="17" customWidth="1"/>
    <col min="5" max="5" width="6.28515625" style="17" customWidth="1"/>
    <col min="6" max="6" width="7.7109375" style="17" customWidth="1"/>
    <col min="7" max="11" width="8.7109375" style="17" customWidth="1"/>
    <col min="12" max="12" width="6.85546875" style="17" customWidth="1"/>
    <col min="13" max="13" width="11.28515625" style="17" customWidth="1"/>
    <col min="14" max="14" width="8.7109375" style="17" customWidth="1"/>
    <col min="15" max="15" width="13.140625" style="17" customWidth="1"/>
    <col min="16" max="16" width="12.85546875" style="17" customWidth="1"/>
    <col min="17" max="17" width="8.7109375" style="17" customWidth="1"/>
    <col min="18" max="18" width="5.7109375" style="17" customWidth="1"/>
    <col min="19" max="19" width="7.28515625" style="17" customWidth="1"/>
    <col min="20" max="21" width="8.85546875" style="16"/>
    <col min="22" max="22" width="5.5703125" style="16" customWidth="1"/>
    <col min="23" max="23" width="12.42578125" style="16" customWidth="1"/>
    <col min="24" max="24" width="13.42578125" style="16" customWidth="1"/>
    <col min="25" max="25" width="5.5703125" style="16" customWidth="1"/>
    <col min="26" max="26" width="5.5703125" style="17" customWidth="1"/>
    <col min="27" max="16384" width="8.85546875" style="17"/>
  </cols>
  <sheetData>
    <row r="1" spans="1:25" ht="15" customHeigh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</row>
    <row r="2" spans="1:25" ht="15" customHeight="1">
      <c r="A2" s="118"/>
      <c r="B2" s="15"/>
      <c r="C2" s="15"/>
      <c r="D2" s="15"/>
      <c r="E2" s="15"/>
      <c r="F2" s="15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</row>
    <row r="3" spans="1:25" ht="7.9" customHeight="1">
      <c r="A3" s="118"/>
      <c r="B3" s="21"/>
      <c r="C3" s="21"/>
      <c r="D3" s="21"/>
      <c r="E3" s="21"/>
      <c r="F3" s="21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118"/>
    </row>
    <row r="4" spans="1:25" ht="5.45" customHeight="1">
      <c r="A4" s="118"/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24"/>
      <c r="U4" s="24"/>
    </row>
    <row r="5" spans="1:25" s="23" customFormat="1" ht="15" customHeight="1">
      <c r="A5" s="26"/>
      <c r="B5" s="28"/>
      <c r="C5" s="797" t="s">
        <v>15</v>
      </c>
      <c r="D5" s="797"/>
      <c r="E5" s="797"/>
      <c r="F5" s="32" t="s">
        <v>37</v>
      </c>
      <c r="G5" s="275" t="s">
        <v>213</v>
      </c>
      <c r="H5" s="275"/>
      <c r="I5" s="275"/>
      <c r="J5" s="275"/>
      <c r="K5" s="799" t="s">
        <v>14</v>
      </c>
      <c r="L5" s="799"/>
      <c r="M5" s="799"/>
      <c r="N5" s="838" t="s">
        <v>33</v>
      </c>
      <c r="O5" s="838"/>
      <c r="P5" s="32">
        <f>VLOOKUP(N5,'Default values '!C2:D10,2,TRUE)</f>
        <v>8760</v>
      </c>
      <c r="Q5" s="28"/>
      <c r="R5" s="28"/>
      <c r="S5" s="28"/>
      <c r="T5" s="25"/>
      <c r="U5" s="25"/>
      <c r="V5" s="22"/>
      <c r="W5" s="22"/>
      <c r="X5" s="22"/>
      <c r="Y5" s="22"/>
    </row>
    <row r="6" spans="1:25" ht="15" customHeight="1">
      <c r="A6" s="118"/>
      <c r="B6" s="14"/>
      <c r="C6" s="797"/>
      <c r="D6" s="797"/>
      <c r="E6" s="797"/>
      <c r="F6" s="32"/>
      <c r="G6" s="275"/>
      <c r="H6" s="275"/>
      <c r="I6" s="275"/>
      <c r="J6" s="275"/>
      <c r="K6" s="799"/>
      <c r="L6" s="799"/>
      <c r="M6" s="799"/>
      <c r="N6" s="838"/>
      <c r="O6" s="838"/>
      <c r="P6" s="14"/>
      <c r="Q6" s="14"/>
      <c r="R6" s="14"/>
      <c r="S6" s="14"/>
    </row>
    <row r="7" spans="1:25" ht="15" customHeight="1">
      <c r="A7" s="118"/>
      <c r="B7" s="14"/>
      <c r="C7" s="119"/>
      <c r="D7" s="119"/>
      <c r="E7" s="119"/>
      <c r="F7" s="42"/>
      <c r="G7" s="276"/>
      <c r="H7" s="276"/>
      <c r="I7" s="276"/>
      <c r="J7" s="276"/>
      <c r="K7" s="14"/>
      <c r="L7" s="14"/>
      <c r="M7" s="14"/>
      <c r="N7" s="14"/>
      <c r="O7" s="14"/>
      <c r="P7" s="14"/>
      <c r="Q7" s="14"/>
      <c r="R7" s="14"/>
      <c r="S7" s="14"/>
    </row>
    <row r="8" spans="1:25" ht="15" customHeight="1">
      <c r="A8" s="118"/>
      <c r="B8" s="14"/>
      <c r="C8" s="119"/>
      <c r="D8" s="119"/>
      <c r="E8" s="119"/>
      <c r="F8" s="42"/>
      <c r="G8" s="276"/>
      <c r="H8" s="276"/>
      <c r="I8" s="276"/>
      <c r="J8" s="276"/>
      <c r="K8" s="799" t="s">
        <v>39</v>
      </c>
      <c r="L8" s="799"/>
      <c r="M8" s="799"/>
      <c r="N8" s="850">
        <v>150</v>
      </c>
      <c r="O8" s="850"/>
      <c r="P8" s="793" t="s">
        <v>22</v>
      </c>
      <c r="Q8" s="14"/>
      <c r="R8" s="14"/>
      <c r="S8" s="14"/>
    </row>
    <row r="9" spans="1:25" s="23" customFormat="1" ht="15" customHeight="1">
      <c r="A9" s="118"/>
      <c r="B9" s="14"/>
      <c r="C9" s="119"/>
      <c r="D9" s="119"/>
      <c r="E9" s="119"/>
      <c r="F9" s="42"/>
      <c r="G9" s="276"/>
      <c r="H9" s="276"/>
      <c r="I9" s="276"/>
      <c r="J9" s="276"/>
      <c r="K9" s="799"/>
      <c r="L9" s="799"/>
      <c r="M9" s="799"/>
      <c r="N9" s="850"/>
      <c r="O9" s="850"/>
      <c r="P9" s="793"/>
      <c r="Q9" s="26"/>
      <c r="R9" s="26"/>
      <c r="S9" s="26"/>
      <c r="T9" s="22"/>
      <c r="U9" s="22"/>
      <c r="V9" s="22"/>
      <c r="W9" s="22"/>
      <c r="X9" s="22"/>
      <c r="Y9" s="22"/>
    </row>
    <row r="10" spans="1:25" ht="15" customHeight="1">
      <c r="A10" s="118"/>
      <c r="B10" s="14"/>
      <c r="C10" s="119"/>
      <c r="D10" s="119"/>
      <c r="E10" s="119"/>
      <c r="F10" s="42"/>
      <c r="G10" s="42"/>
      <c r="H10" s="42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</row>
    <row r="11" spans="1:25" ht="15" customHeight="1" thickBot="1">
      <c r="A11" s="118"/>
      <c r="B11" s="14"/>
      <c r="C11" s="14"/>
      <c r="D11" s="14"/>
      <c r="E11" s="14"/>
      <c r="F11" s="14"/>
      <c r="G11" s="14"/>
      <c r="H11" s="14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</row>
    <row r="12" spans="1:25" ht="15" customHeight="1" thickTop="1">
      <c r="A12" s="118"/>
      <c r="B12" s="29"/>
      <c r="C12" s="30"/>
      <c r="D12" s="30"/>
      <c r="E12" s="30"/>
      <c r="F12" s="30"/>
      <c r="G12" s="30"/>
      <c r="H12" s="30"/>
      <c r="I12" s="6"/>
      <c r="J12" s="6"/>
      <c r="K12" s="48"/>
      <c r="L12" s="118"/>
      <c r="M12" s="15"/>
      <c r="N12" s="15"/>
      <c r="O12" s="15"/>
      <c r="P12" s="15"/>
      <c r="Q12" s="15"/>
      <c r="R12" s="15"/>
      <c r="S12" s="118"/>
    </row>
    <row r="13" spans="1:25" s="23" customFormat="1" ht="15" customHeight="1">
      <c r="A13" s="26"/>
      <c r="B13" s="31"/>
      <c r="C13" s="973" t="s">
        <v>392</v>
      </c>
      <c r="D13" s="902">
        <v>150</v>
      </c>
      <c r="E13" s="902"/>
      <c r="F13" s="793" t="s">
        <v>44</v>
      </c>
      <c r="G13" s="799" t="s">
        <v>45</v>
      </c>
      <c r="H13" s="799"/>
      <c r="I13" s="902">
        <v>10</v>
      </c>
      <c r="J13" s="902"/>
      <c r="K13" s="900" t="s">
        <v>46</v>
      </c>
      <c r="L13" s="26"/>
      <c r="M13" s="41"/>
      <c r="N13" s="41"/>
      <c r="O13" s="41"/>
      <c r="P13" s="41"/>
      <c r="Q13" s="41"/>
      <c r="R13" s="41"/>
      <c r="S13" s="26"/>
      <c r="T13" s="22"/>
      <c r="U13" s="22"/>
      <c r="V13" s="22"/>
      <c r="W13" s="22"/>
      <c r="X13" s="22"/>
      <c r="Y13" s="22"/>
    </row>
    <row r="14" spans="1:25" ht="15" customHeight="1">
      <c r="A14" s="118"/>
      <c r="B14" s="8"/>
      <c r="C14" s="974"/>
      <c r="D14" s="902"/>
      <c r="E14" s="902"/>
      <c r="F14" s="793"/>
      <c r="G14" s="799"/>
      <c r="H14" s="799"/>
      <c r="I14" s="902"/>
      <c r="J14" s="902"/>
      <c r="K14" s="900"/>
      <c r="L14" s="26"/>
      <c r="M14" s="851" t="str">
        <f>IF(F25="","","Heat loss")</f>
        <v>Heat loss</v>
      </c>
      <c r="N14" s="851"/>
      <c r="O14" s="939">
        <f>IF(F25="","",S45)</f>
        <v>20814.04869642909</v>
      </c>
      <c r="P14" s="939"/>
      <c r="Q14" s="839" t="str">
        <f>IF(F25="","","kWh/a")</f>
        <v>kWh/a</v>
      </c>
      <c r="R14" s="839"/>
      <c r="S14" s="118"/>
    </row>
    <row r="15" spans="1:25" ht="15" customHeight="1">
      <c r="A15" s="118"/>
      <c r="B15" s="8"/>
      <c r="C15" s="118"/>
      <c r="D15" s="118"/>
      <c r="E15" s="118"/>
      <c r="F15" s="33"/>
      <c r="G15" s="33"/>
      <c r="H15" s="118"/>
      <c r="I15" s="15"/>
      <c r="J15" s="15"/>
      <c r="K15" s="40"/>
      <c r="L15" s="15"/>
      <c r="M15" s="851"/>
      <c r="N15" s="851"/>
      <c r="O15" s="939"/>
      <c r="P15" s="939"/>
      <c r="Q15" s="839"/>
      <c r="R15" s="839"/>
      <c r="S15" s="118"/>
    </row>
    <row r="16" spans="1:25" ht="15" customHeight="1">
      <c r="A16" s="118"/>
      <c r="B16" s="8"/>
      <c r="C16" s="118"/>
      <c r="D16" s="118"/>
      <c r="E16" s="118"/>
      <c r="F16" s="33"/>
      <c r="G16" s="33"/>
      <c r="H16" s="118"/>
      <c r="I16" s="27"/>
      <c r="J16" s="27"/>
      <c r="K16" s="40"/>
      <c r="L16" s="27"/>
      <c r="M16" s="851"/>
      <c r="N16" s="851"/>
      <c r="O16" s="941">
        <f>IF(F25=0,"",T45)</f>
        <v>749.30575307144716</v>
      </c>
      <c r="P16" s="941"/>
      <c r="Q16" s="841" t="str">
        <f>IF(F25=0,"","€/a")</f>
        <v>€/a</v>
      </c>
      <c r="R16" s="841"/>
      <c r="S16" s="118"/>
    </row>
    <row r="17" spans="1:25" s="23" customFormat="1" ht="15" customHeight="1">
      <c r="A17" s="26"/>
      <c r="B17" s="31"/>
      <c r="C17" s="793" t="s">
        <v>99</v>
      </c>
      <c r="D17" s="793"/>
      <c r="E17" s="793"/>
      <c r="F17" s="838" t="s">
        <v>329</v>
      </c>
      <c r="G17" s="838"/>
      <c r="H17" s="47">
        <f>IF(F17="","",VLOOKUP(F17,'Default values '!A2:B7,2,FALSE))</f>
        <v>0.9</v>
      </c>
      <c r="I17" s="27"/>
      <c r="J17" s="27"/>
      <c r="K17" s="46"/>
      <c r="L17" s="27"/>
      <c r="M17" s="851"/>
      <c r="N17" s="851"/>
      <c r="O17" s="941"/>
      <c r="P17" s="941"/>
      <c r="Q17" s="841"/>
      <c r="R17" s="841"/>
      <c r="S17" s="26"/>
      <c r="T17" s="22"/>
      <c r="U17" s="22"/>
      <c r="V17" s="22"/>
      <c r="W17" s="22"/>
      <c r="X17" s="22"/>
      <c r="Y17" s="22"/>
    </row>
    <row r="18" spans="1:25" ht="15" customHeight="1">
      <c r="A18" s="118"/>
      <c r="B18" s="8"/>
      <c r="C18" s="793"/>
      <c r="D18" s="793"/>
      <c r="E18" s="793"/>
      <c r="F18" s="838"/>
      <c r="G18" s="838"/>
      <c r="H18" s="15"/>
      <c r="I18" s="118"/>
      <c r="J18" s="118"/>
      <c r="K18" s="9"/>
      <c r="L18" s="118"/>
      <c r="M18" s="842" t="str">
        <f>IF(F25="","",IF(U48&lt;0,"","Saving potential"))</f>
        <v>Saving potential</v>
      </c>
      <c r="N18" s="842"/>
      <c r="O18" s="916">
        <f>IF(F25=0,"",IF(U48&lt;0,"",U48))</f>
        <v>11545.982673150758</v>
      </c>
      <c r="P18" s="916">
        <f>IF(F25=0,"",IF(U49&lt;0,"",U49))</f>
        <v>12936.192576642508</v>
      </c>
      <c r="Q18" s="898" t="str">
        <f>IF(F25="","",IF(U48&lt;0,"","kWh/a"))</f>
        <v>kWh/a</v>
      </c>
      <c r="R18" s="898"/>
      <c r="S18" s="118"/>
    </row>
    <row r="19" spans="1:25" ht="15" customHeight="1">
      <c r="A19" s="118"/>
      <c r="B19" s="8"/>
      <c r="C19" s="15"/>
      <c r="D19" s="15"/>
      <c r="E19" s="15"/>
      <c r="F19" s="33"/>
      <c r="G19" s="33"/>
      <c r="H19" s="15"/>
      <c r="I19" s="118"/>
      <c r="J19" s="118"/>
      <c r="K19" s="9"/>
      <c r="L19" s="118"/>
      <c r="M19" s="842"/>
      <c r="N19" s="842"/>
      <c r="O19" s="916"/>
      <c r="P19" s="916"/>
      <c r="Q19" s="898"/>
      <c r="R19" s="898"/>
      <c r="S19" s="118"/>
    </row>
    <row r="20" spans="1:25" ht="15" customHeight="1">
      <c r="A20" s="118"/>
      <c r="B20" s="8"/>
      <c r="C20" s="118"/>
      <c r="D20" s="118"/>
      <c r="E20" s="118"/>
      <c r="F20" s="33"/>
      <c r="G20" s="33"/>
      <c r="H20" s="118"/>
      <c r="I20" s="118"/>
      <c r="J20" s="118"/>
      <c r="K20" s="9"/>
      <c r="L20" s="118"/>
      <c r="M20" s="842"/>
      <c r="N20" s="842"/>
      <c r="O20" s="917">
        <f>IF(F25=0,"",IF(V48&lt;0,"",V48))</f>
        <v>415.65537623342721</v>
      </c>
      <c r="P20" s="917">
        <f>IF(F25=0,"",IF(V48&lt;0,"",V49))</f>
        <v>465.70293275913025</v>
      </c>
      <c r="Q20" s="899" t="str">
        <f>IF(F25="","",IF(U48&lt;0,"","€/a"))</f>
        <v>€/a</v>
      </c>
      <c r="R20" s="899"/>
      <c r="S20" s="118"/>
    </row>
    <row r="21" spans="1:25" s="23" customFormat="1" ht="15" customHeight="1">
      <c r="A21" s="26"/>
      <c r="B21" s="31"/>
      <c r="C21" s="793" t="s">
        <v>36</v>
      </c>
      <c r="D21" s="793"/>
      <c r="E21" s="793"/>
      <c r="F21" s="850">
        <v>20</v>
      </c>
      <c r="G21" s="850"/>
      <c r="H21" s="793" t="s">
        <v>22</v>
      </c>
      <c r="I21" s="26"/>
      <c r="J21" s="26"/>
      <c r="K21" s="46"/>
      <c r="L21" s="26"/>
      <c r="M21" s="842"/>
      <c r="N21" s="842"/>
      <c r="O21" s="917"/>
      <c r="P21" s="917"/>
      <c r="Q21" s="899"/>
      <c r="R21" s="899"/>
      <c r="S21" s="26"/>
      <c r="T21" s="22"/>
      <c r="U21" s="22"/>
      <c r="V21" s="22"/>
      <c r="W21" s="22"/>
      <c r="X21" s="22"/>
      <c r="Y21" s="22"/>
    </row>
    <row r="22" spans="1:25" ht="15" customHeight="1">
      <c r="A22" s="118"/>
      <c r="B22" s="8"/>
      <c r="C22" s="793"/>
      <c r="D22" s="793"/>
      <c r="E22" s="793"/>
      <c r="F22" s="850"/>
      <c r="G22" s="850"/>
      <c r="H22" s="793"/>
      <c r="I22" s="118"/>
      <c r="J22" s="118"/>
      <c r="K22" s="9"/>
      <c r="L22" s="118"/>
      <c r="M22" s="41"/>
      <c r="N22" s="41"/>
      <c r="O22" s="41"/>
      <c r="P22" s="41"/>
      <c r="Q22" s="41"/>
      <c r="R22" s="41"/>
      <c r="S22" s="118"/>
    </row>
    <row r="23" spans="1:25" ht="15" customHeight="1">
      <c r="A23" s="118"/>
      <c r="B23" s="8"/>
      <c r="C23" s="118"/>
      <c r="D23" s="118"/>
      <c r="E23" s="118"/>
      <c r="F23" s="118"/>
      <c r="G23" s="118"/>
      <c r="H23" s="18"/>
      <c r="I23" s="19"/>
      <c r="J23" s="19"/>
      <c r="K23" s="40"/>
      <c r="L23" s="118"/>
      <c r="M23" s="45"/>
      <c r="N23" s="43"/>
      <c r="O23" s="43"/>
      <c r="P23" s="43"/>
      <c r="Q23" s="43"/>
      <c r="R23" s="43"/>
      <c r="S23" s="118"/>
    </row>
    <row r="24" spans="1:25" ht="15" customHeight="1">
      <c r="A24" s="118"/>
      <c r="B24" s="8"/>
      <c r="C24" s="118"/>
      <c r="D24" s="118"/>
      <c r="E24" s="118"/>
      <c r="F24" s="118"/>
      <c r="G24" s="118"/>
      <c r="H24" s="19"/>
      <c r="I24" s="19"/>
      <c r="J24" s="19"/>
      <c r="K24" s="40"/>
      <c r="L24" s="118"/>
      <c r="M24" s="49"/>
      <c r="N24" s="44"/>
      <c r="O24" s="44"/>
      <c r="P24" s="44"/>
      <c r="Q24" s="43"/>
      <c r="R24" s="43"/>
      <c r="S24" s="118"/>
    </row>
    <row r="25" spans="1:25" ht="15" customHeight="1">
      <c r="A25" s="26"/>
      <c r="B25" s="8"/>
      <c r="C25" s="793" t="s">
        <v>38</v>
      </c>
      <c r="D25" s="793"/>
      <c r="E25" s="793"/>
      <c r="F25" s="850">
        <v>60</v>
      </c>
      <c r="G25" s="850"/>
      <c r="H25" s="793" t="s">
        <v>22</v>
      </c>
      <c r="I25" s="19"/>
      <c r="J25" s="19"/>
      <c r="K25" s="40"/>
      <c r="L25" s="118"/>
      <c r="M25" s="856" t="str">
        <f>IF(F25="","",M50)</f>
        <v>"Savings can be achieved by increasing the insulant performance or thickness"</v>
      </c>
      <c r="N25" s="856"/>
      <c r="O25" s="856"/>
      <c r="P25" s="856"/>
      <c r="Q25" s="43"/>
      <c r="R25" s="43"/>
      <c r="S25" s="118"/>
    </row>
    <row r="26" spans="1:25" ht="15" customHeight="1">
      <c r="A26" s="118"/>
      <c r="B26" s="8"/>
      <c r="C26" s="793"/>
      <c r="D26" s="793"/>
      <c r="E26" s="793"/>
      <c r="F26" s="850"/>
      <c r="G26" s="850"/>
      <c r="H26" s="793"/>
      <c r="I26" s="19"/>
      <c r="J26" s="19"/>
      <c r="K26" s="40"/>
      <c r="L26" s="118"/>
      <c r="M26" s="856"/>
      <c r="N26" s="856"/>
      <c r="O26" s="856"/>
      <c r="P26" s="856"/>
      <c r="Q26" s="43"/>
      <c r="R26" s="118"/>
      <c r="S26" s="118"/>
    </row>
    <row r="27" spans="1:25" ht="15" customHeight="1" thickBot="1">
      <c r="A27" s="118"/>
      <c r="B27" s="10"/>
      <c r="C27" s="11"/>
      <c r="D27" s="11"/>
      <c r="E27" s="11"/>
      <c r="F27" s="11"/>
      <c r="G27" s="11"/>
      <c r="H27" s="11"/>
      <c r="I27" s="11"/>
      <c r="J27" s="11"/>
      <c r="K27" s="12"/>
      <c r="L27" s="118"/>
      <c r="M27" s="856"/>
      <c r="N27" s="856"/>
      <c r="O27" s="856"/>
      <c r="P27" s="856"/>
      <c r="Q27" s="43"/>
      <c r="R27" s="118"/>
      <c r="S27" s="118"/>
    </row>
    <row r="28" spans="1:25" ht="15" customHeight="1" thickTop="1" thickBot="1">
      <c r="A28" s="118"/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</row>
    <row r="29" spans="1:25" ht="15" customHeight="1" thickTop="1">
      <c r="A29" s="118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118"/>
    </row>
    <row r="30" spans="1:25">
      <c r="A30" s="118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</row>
    <row r="31" spans="1:25">
      <c r="A31" s="118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</row>
    <row r="32" spans="1:25">
      <c r="A32" s="118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</row>
    <row r="33" spans="1:29">
      <c r="A33" s="118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</row>
    <row r="34" spans="1:29">
      <c r="A34" s="118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</row>
    <row r="35" spans="1:29">
      <c r="A35" s="118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</row>
    <row r="36" spans="1:29">
      <c r="A36" s="118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</row>
    <row r="37" spans="1:29">
      <c r="A37" s="118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</row>
    <row r="38" spans="1:29">
      <c r="A38" s="118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</row>
    <row r="39" spans="1:29">
      <c r="A39" s="118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</row>
    <row r="40" spans="1:29">
      <c r="A40" s="118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</row>
    <row r="41" spans="1:29">
      <c r="A41" s="118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</row>
    <row r="42" spans="1:29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</row>
    <row r="43" spans="1:29" ht="72.7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307" t="s">
        <v>175</v>
      </c>
      <c r="S43" s="981"/>
      <c r="T43" s="981"/>
      <c r="U43" s="960" t="s">
        <v>101</v>
      </c>
      <c r="V43" s="960"/>
      <c r="W43" s="199" t="s">
        <v>149</v>
      </c>
    </row>
    <row r="44" spans="1:29" ht="60.75" thickBot="1">
      <c r="A44" s="802" t="s">
        <v>5</v>
      </c>
      <c r="B44" s="803"/>
      <c r="C44" s="281" t="s">
        <v>158</v>
      </c>
      <c r="D44" s="81" t="s">
        <v>102</v>
      </c>
      <c r="E44" s="81" t="s">
        <v>103</v>
      </c>
      <c r="F44" s="82" t="s">
        <v>40</v>
      </c>
      <c r="G44" s="82" t="s">
        <v>29</v>
      </c>
      <c r="H44" s="82" t="s">
        <v>30</v>
      </c>
      <c r="I44" s="84" t="s">
        <v>78</v>
      </c>
      <c r="J44" s="82" t="s">
        <v>59</v>
      </c>
      <c r="K44" s="82" t="s">
        <v>58</v>
      </c>
      <c r="L44" s="83" t="s">
        <v>13</v>
      </c>
      <c r="M44" s="112" t="s">
        <v>106</v>
      </c>
      <c r="N44" s="83" t="s">
        <v>152</v>
      </c>
      <c r="O44" s="83" t="s">
        <v>105</v>
      </c>
      <c r="P44" s="83" t="s">
        <v>26</v>
      </c>
      <c r="Q44" s="113" t="s">
        <v>107</v>
      </c>
      <c r="R44" s="78" t="s">
        <v>139</v>
      </c>
      <c r="S44" s="80" t="s">
        <v>84</v>
      </c>
      <c r="T44" s="80" t="s">
        <v>85</v>
      </c>
      <c r="U44" s="80"/>
      <c r="V44" s="80"/>
      <c r="W44" s="200" t="s">
        <v>154</v>
      </c>
      <c r="X44" s="206" t="s">
        <v>150</v>
      </c>
      <c r="Y44" s="114" t="s">
        <v>155</v>
      </c>
      <c r="Z44" s="114"/>
      <c r="AA44" s="16"/>
      <c r="AB44" s="16"/>
      <c r="AC44" s="16"/>
    </row>
    <row r="45" spans="1:29" ht="15.75" thickBot="1">
      <c r="A45" s="971" t="str">
        <f>G5</f>
        <v>Pipe preheater-burner</v>
      </c>
      <c r="B45" s="972"/>
      <c r="C45" s="282">
        <f>D13</f>
        <v>150</v>
      </c>
      <c r="D45" s="226">
        <f>VLOOKUP(C45,A84:B123,2,TRUE)</f>
        <v>0.16900000000000001</v>
      </c>
      <c r="E45" s="282">
        <f>I13</f>
        <v>10</v>
      </c>
      <c r="F45" s="282">
        <f>N8</f>
        <v>150</v>
      </c>
      <c r="G45" s="224">
        <f>F25</f>
        <v>60</v>
      </c>
      <c r="H45" s="224">
        <f>F21</f>
        <v>20</v>
      </c>
      <c r="I45" s="228">
        <f>H17</f>
        <v>0.9</v>
      </c>
      <c r="J45" s="224">
        <f>P5</f>
        <v>8760</v>
      </c>
      <c r="K45" s="228">
        <f>TBi!L27</f>
        <v>3.5999999999999997E-2</v>
      </c>
      <c r="L45" s="125">
        <f>IF(G45=0,"",I45*D56*(((G45+273)^4-(H45+273)^4)/(G45-H45)))</f>
        <v>6.2851589184743641</v>
      </c>
      <c r="M45" s="159">
        <f>D45^3*ABS(G45-H45)</f>
        <v>0.19307236000000003</v>
      </c>
      <c r="N45" s="126">
        <f>IF(G45=0,"",1.25*(ABS(G45-H45)/D45)^0.25)</f>
        <v>4.9029033784546012</v>
      </c>
      <c r="O45" s="126">
        <f>1.21*(ABS(G45-H45))^0.33</f>
        <v>4.0875696648489157</v>
      </c>
      <c r="P45" s="126">
        <f>IF(M45&lt;10,N45+L45,O45+L45)</f>
        <v>11.188062296928965</v>
      </c>
      <c r="Q45" s="160">
        <f>1/(D55*P45*D45)</f>
        <v>0.16834783328825187</v>
      </c>
      <c r="R45" s="127">
        <f>IF(G45=0,"",ABS(G45-H45)/Q45)</f>
        <v>237.6032956213366</v>
      </c>
      <c r="S45" s="128">
        <f>IF(G45=0,"",R45*J45*E45/1000)</f>
        <v>20814.04869642909</v>
      </c>
      <c r="T45" s="174">
        <f>IF(G45=0,"",S45*K45)</f>
        <v>749.30575307144716</v>
      </c>
      <c r="U45" s="61"/>
      <c r="V45" s="61"/>
      <c r="W45" s="201">
        <f>(F45-G45)/R45</f>
        <v>0.37878262489856673</v>
      </c>
      <c r="X45" s="201">
        <f>(D45-Y45)/2</f>
        <v>1.3248890717968587E-2</v>
      </c>
      <c r="Y45" s="207">
        <f>D45/EXP(2*D55*Y57*W45)</f>
        <v>0.14250221856406284</v>
      </c>
      <c r="Z45" s="117"/>
      <c r="AA45" s="16"/>
      <c r="AB45" s="16"/>
      <c r="AC45" s="16"/>
    </row>
    <row r="46" spans="1:29" ht="15.75" thickBot="1">
      <c r="A46" s="971" t="s">
        <v>290</v>
      </c>
      <c r="B46" s="972"/>
      <c r="C46" s="282"/>
      <c r="D46" s="226">
        <f t="shared" ref="D46:F47" si="0">D45</f>
        <v>0.16900000000000001</v>
      </c>
      <c r="E46" s="282">
        <f t="shared" si="0"/>
        <v>10</v>
      </c>
      <c r="F46" s="282">
        <f t="shared" si="0"/>
        <v>150</v>
      </c>
      <c r="G46" s="418">
        <f>D66</f>
        <v>55</v>
      </c>
      <c r="H46" s="418">
        <f>D67</f>
        <v>35</v>
      </c>
      <c r="I46" s="228">
        <f>D68</f>
        <v>0.8</v>
      </c>
      <c r="J46" s="224">
        <f>J45</f>
        <v>8760</v>
      </c>
      <c r="K46" s="228">
        <f>K45</f>
        <v>3.5999999999999997E-2</v>
      </c>
      <c r="L46" s="125">
        <f>IF(G46=0,"",I46*D56*(((G46+273)^4-(H46+273)^4)/(G46-H46)))</f>
        <v>5.8407922844206084</v>
      </c>
      <c r="M46" s="159">
        <f>D46^3*ABS(G46-H46)</f>
        <v>9.6536180000000013E-2</v>
      </c>
      <c r="N46" s="126">
        <f>IF(G46=0,"",1.25*(ABS(G46-H46)/D46)^0.25)</f>
        <v>4.1228338752777995</v>
      </c>
      <c r="O46" s="126">
        <f>1.21*(ABS(G46-H46))^0.33</f>
        <v>3.2518107982771776</v>
      </c>
      <c r="P46" s="126">
        <f>IF(M46&lt;10,N46+L46,O46+L46)</f>
        <v>9.963626159698407</v>
      </c>
      <c r="Q46" s="160">
        <f>1/(D55*P46*D46)</f>
        <v>0.18903620190011083</v>
      </c>
      <c r="R46" s="127">
        <f>IF(G46=0,"",ABS(G46-H46)/Q46)</f>
        <v>105.79984044838278</v>
      </c>
      <c r="S46" s="128">
        <f>IF(G46=0,"",R46*J46*E46/1000)</f>
        <v>9268.0660232783321</v>
      </c>
      <c r="T46" s="174">
        <f>IF(G46=0,"",S46*K46)</f>
        <v>333.65037683801995</v>
      </c>
      <c r="U46" s="79"/>
      <c r="V46" s="79"/>
      <c r="W46" s="201">
        <f>(F46-G46)/R46</f>
        <v>0.89792195902552641</v>
      </c>
      <c r="X46" s="205">
        <f>(Y45*EXP(2*D55*Y57*W46)-Y45)/2</f>
        <v>3.5498518552821601E-2</v>
      </c>
      <c r="Y46" s="117"/>
      <c r="Z46" s="117"/>
      <c r="AA46" s="16"/>
      <c r="AB46" s="16"/>
      <c r="AC46" s="16"/>
    </row>
    <row r="47" spans="1:29" s="16" customFormat="1" ht="18.75">
      <c r="A47" s="971" t="s">
        <v>291</v>
      </c>
      <c r="B47" s="972"/>
      <c r="C47" s="381"/>
      <c r="D47" s="226">
        <f t="shared" si="0"/>
        <v>0.16900000000000001</v>
      </c>
      <c r="E47" s="381">
        <f t="shared" si="0"/>
        <v>10</v>
      </c>
      <c r="F47" s="381">
        <f t="shared" si="0"/>
        <v>150</v>
      </c>
      <c r="G47" s="381">
        <v>55</v>
      </c>
      <c r="H47" s="381">
        <v>35</v>
      </c>
      <c r="I47" s="228"/>
      <c r="J47" s="224"/>
      <c r="K47" s="228"/>
      <c r="L47" s="125"/>
      <c r="M47" s="159"/>
      <c r="N47" s="126"/>
      <c r="O47" s="126"/>
      <c r="P47" s="126"/>
      <c r="Q47" s="160"/>
      <c r="R47" s="421">
        <f>R46*D69</f>
        <v>89.929864381125356</v>
      </c>
      <c r="S47" s="128">
        <f>IF(G46=0,"",R47*J46*E46/1000)</f>
        <v>7877.8561197865811</v>
      </c>
      <c r="T47" s="174">
        <f>IF(G46=0,"",S47*K46)</f>
        <v>283.60282031231691</v>
      </c>
      <c r="U47" s="186" t="s">
        <v>61</v>
      </c>
      <c r="V47" s="187" t="s">
        <v>23</v>
      </c>
      <c r="W47" s="201">
        <f>(F47-G47)/R47</f>
        <v>1.0563787753241489</v>
      </c>
      <c r="X47" s="205">
        <f>(Y45*EXP(2*D55*Y57*W47)-Y45)/2</f>
        <v>4.3392578355146941E-2</v>
      </c>
    </row>
    <row r="48" spans="1:29" s="16" customFormat="1">
      <c r="A48" s="56"/>
      <c r="B48" s="56"/>
      <c r="C48" s="56"/>
      <c r="D48" s="56"/>
      <c r="E48" s="182"/>
      <c r="F48" s="182"/>
      <c r="G48" s="57"/>
      <c r="H48" s="57"/>
      <c r="I48" s="57"/>
      <c r="J48" s="58"/>
      <c r="K48" s="59" t="s">
        <v>204</v>
      </c>
      <c r="L48" s="59"/>
      <c r="M48" s="58"/>
      <c r="N48" s="208">
        <f>IF(G46=0,"",1.25*((G46-H46)/(D46+2*D71))^0.25)</f>
        <v>3.670535611286974</v>
      </c>
      <c r="O48" s="209">
        <f>1.21*((G46-H46))^0.33</f>
        <v>3.2518107982771776</v>
      </c>
      <c r="P48" s="209">
        <f>IF(M46&lt;10,N46+L46,O46+L46)</f>
        <v>9.963626159698407</v>
      </c>
      <c r="Q48" s="210">
        <f>1/(D55*P46*(D46+2*D71))</f>
        <v>0.11876252089635217</v>
      </c>
      <c r="R48" s="211">
        <f>IF(G46=0,"",(G46-H46)/Q48)</f>
        <v>168.40329633499979</v>
      </c>
      <c r="S48" s="36"/>
      <c r="T48" s="36"/>
      <c r="U48" s="184">
        <f>S45-S46</f>
        <v>11545.982673150758</v>
      </c>
      <c r="V48" s="79">
        <f>T45-T46</f>
        <v>415.65537623342721</v>
      </c>
      <c r="W48" s="200"/>
      <c r="X48" s="200"/>
    </row>
    <row r="49" spans="1:25" s="16" customFormat="1" ht="15.75" thickBot="1">
      <c r="A49" s="56"/>
      <c r="B49" s="56"/>
      <c r="C49" s="57"/>
      <c r="D49" s="57"/>
      <c r="E49" s="183"/>
      <c r="F49" s="59"/>
      <c r="G49" s="57"/>
      <c r="H49" s="57"/>
      <c r="I49" s="57"/>
      <c r="J49" s="58"/>
      <c r="K49" s="59"/>
      <c r="L49" s="58"/>
      <c r="M49" s="60"/>
      <c r="N49" s="123"/>
      <c r="O49" s="123"/>
      <c r="P49" s="129"/>
      <c r="Q49" s="129"/>
      <c r="R49" s="36"/>
      <c r="S49" s="36"/>
      <c r="T49" s="36"/>
      <c r="U49" s="184">
        <f>S45-S47</f>
        <v>12936.192576642508</v>
      </c>
      <c r="V49" s="184">
        <f>T45-T47</f>
        <v>465.70293275913025</v>
      </c>
      <c r="W49" s="199"/>
      <c r="X49" s="199"/>
    </row>
    <row r="50" spans="1:25" s="16" customFormat="1" ht="15.75" thickBot="1">
      <c r="A50" s="56"/>
      <c r="B50" s="56"/>
      <c r="C50" s="56"/>
      <c r="D50" s="57"/>
      <c r="E50" s="58"/>
      <c r="F50" s="58"/>
      <c r="G50" s="57"/>
      <c r="H50" s="57"/>
      <c r="I50" s="57"/>
      <c r="J50" s="58"/>
      <c r="K50" s="59"/>
      <c r="L50" s="58"/>
      <c r="M50" s="927" t="s">
        <v>371</v>
      </c>
      <c r="N50" s="928"/>
      <c r="O50" s="928"/>
      <c r="P50" s="928"/>
      <c r="Q50" s="928"/>
      <c r="R50" s="929"/>
      <c r="S50" s="36"/>
      <c r="T50" s="36"/>
      <c r="U50" s="36"/>
      <c r="W50" s="975" t="s">
        <v>110</v>
      </c>
      <c r="X50" s="976"/>
    </row>
    <row r="51" spans="1:25" s="16" customFormat="1" ht="15.75" thickBot="1">
      <c r="A51" s="56"/>
      <c r="B51" s="56"/>
      <c r="C51" s="56"/>
      <c r="D51" s="57"/>
      <c r="E51" s="60"/>
      <c r="F51" s="17"/>
      <c r="G51" s="57"/>
      <c r="H51" s="57"/>
      <c r="I51" s="57"/>
      <c r="J51" s="58"/>
      <c r="K51" s="59"/>
      <c r="L51" s="58"/>
      <c r="M51" s="930"/>
      <c r="N51" s="931"/>
      <c r="O51" s="931"/>
      <c r="P51" s="931"/>
      <c r="Q51" s="931"/>
      <c r="R51" s="932"/>
      <c r="S51" s="36"/>
      <c r="T51" s="36"/>
      <c r="U51" s="36"/>
      <c r="W51" s="212" t="s">
        <v>53</v>
      </c>
      <c r="X51" s="291">
        <v>1.5</v>
      </c>
    </row>
    <row r="52" spans="1:25" s="16" customFormat="1" ht="15.75" thickBot="1">
      <c r="A52" s="56"/>
      <c r="B52" s="56"/>
      <c r="C52" s="56"/>
      <c r="D52" s="57"/>
      <c r="E52" s="58"/>
      <c r="F52" s="58"/>
      <c r="G52" s="57"/>
      <c r="H52" s="57"/>
      <c r="I52" s="57"/>
      <c r="J52" s="58"/>
      <c r="K52" s="59"/>
      <c r="L52" s="58"/>
      <c r="M52" s="933"/>
      <c r="N52" s="934"/>
      <c r="O52" s="934"/>
      <c r="P52" s="934"/>
      <c r="Q52" s="934"/>
      <c r="R52" s="935"/>
      <c r="S52" s="36"/>
      <c r="T52" s="36"/>
      <c r="U52" s="36"/>
      <c r="W52" s="213" t="s">
        <v>47</v>
      </c>
      <c r="X52" s="292">
        <f>0.0338</f>
        <v>3.3799999999999997E-2</v>
      </c>
    </row>
    <row r="53" spans="1:25" s="16" customFormat="1">
      <c r="A53" s="56"/>
      <c r="B53" s="56"/>
      <c r="C53" s="56"/>
      <c r="D53" s="57"/>
      <c r="E53" s="58"/>
      <c r="F53" s="58"/>
      <c r="G53" s="57"/>
      <c r="H53" s="57"/>
      <c r="I53" s="57"/>
      <c r="J53" s="58"/>
      <c r="K53" s="59"/>
      <c r="L53" s="58"/>
      <c r="M53" s="60"/>
      <c r="N53" s="123"/>
      <c r="O53" s="123"/>
      <c r="P53" s="129"/>
      <c r="Q53" s="129"/>
      <c r="R53" s="36"/>
      <c r="S53" s="36"/>
      <c r="T53" s="36"/>
      <c r="U53" s="36"/>
      <c r="W53" s="213" t="s">
        <v>48</v>
      </c>
      <c r="X53" s="214">
        <v>1.1730000000000001E-4</v>
      </c>
    </row>
    <row r="54" spans="1:25" s="16" customFormat="1" ht="15.75" thickBot="1">
      <c r="A54" s="904" t="s">
        <v>109</v>
      </c>
      <c r="B54" s="904"/>
      <c r="C54" s="904"/>
      <c r="D54" s="904"/>
      <c r="E54" s="904"/>
      <c r="F54" s="904"/>
      <c r="G54" s="904"/>
      <c r="H54" s="904"/>
      <c r="I54" s="904"/>
      <c r="J54" s="904"/>
      <c r="K54" s="904"/>
      <c r="L54" s="904"/>
      <c r="M54" s="904"/>
      <c r="N54" s="904"/>
      <c r="O54" s="904"/>
      <c r="P54" s="904"/>
      <c r="Q54" s="904"/>
      <c r="R54" s="904"/>
      <c r="S54" s="904"/>
      <c r="T54" s="904"/>
      <c r="U54" s="177"/>
      <c r="W54" s="213" t="s">
        <v>49</v>
      </c>
      <c r="X54" s="214">
        <v>7.5450000000000004E-8</v>
      </c>
    </row>
    <row r="55" spans="1:25" s="2" customFormat="1" ht="15.75" thickBot="1">
      <c r="A55" s="905" t="s">
        <v>162</v>
      </c>
      <c r="B55" s="906"/>
      <c r="C55" s="906"/>
      <c r="D55" s="232">
        <v>3.1415999999999999</v>
      </c>
      <c r="E55" s="57"/>
      <c r="F55" s="57"/>
      <c r="G55" s="57"/>
      <c r="H55" s="57"/>
      <c r="I55" s="57"/>
      <c r="J55" s="58"/>
      <c r="K55" s="59"/>
      <c r="L55" s="58"/>
      <c r="M55" s="60"/>
      <c r="N55" s="303"/>
      <c r="O55" s="303"/>
      <c r="P55" s="280"/>
      <c r="Q55" s="280"/>
      <c r="R55" s="290"/>
      <c r="S55" s="290"/>
      <c r="T55" s="290"/>
      <c r="U55" s="290"/>
      <c r="W55" s="215" t="s">
        <v>50</v>
      </c>
      <c r="X55" s="216">
        <v>7.109E-10</v>
      </c>
    </row>
    <row r="56" spans="1:25" s="2" customFormat="1" ht="15.75" thickBot="1">
      <c r="A56" s="907" t="s">
        <v>80</v>
      </c>
      <c r="B56" s="906"/>
      <c r="C56" s="906"/>
      <c r="D56" s="304">
        <v>5.6703669999999997E-8</v>
      </c>
      <c r="E56" s="57"/>
      <c r="F56" s="57"/>
      <c r="G56" s="57"/>
      <c r="H56" s="57"/>
      <c r="I56" s="57" t="s">
        <v>132</v>
      </c>
      <c r="J56" s="58"/>
      <c r="K56" s="59"/>
      <c r="L56" s="58"/>
      <c r="M56" s="60"/>
      <c r="N56" s="303"/>
      <c r="O56" s="303"/>
      <c r="P56" s="280"/>
      <c r="Q56" s="280"/>
      <c r="R56" s="290"/>
      <c r="S56" s="290"/>
      <c r="T56" s="290"/>
      <c r="U56" s="290"/>
      <c r="W56" s="197"/>
      <c r="X56" s="197"/>
    </row>
    <row r="57" spans="1:25" s="2" customFormat="1">
      <c r="A57" s="162"/>
      <c r="B57" s="89"/>
      <c r="C57" s="157"/>
      <c r="D57" s="57"/>
      <c r="E57" s="57"/>
      <c r="F57" s="56"/>
      <c r="G57" s="130"/>
      <c r="H57" s="57"/>
      <c r="I57" s="58"/>
      <c r="J57" s="59"/>
      <c r="K57" s="58"/>
      <c r="L57" s="60"/>
      <c r="M57" s="303"/>
      <c r="N57" s="326"/>
      <c r="O57" s="129"/>
      <c r="P57" s="129"/>
      <c r="Q57" s="36"/>
      <c r="R57" s="36"/>
      <c r="S57" s="36"/>
      <c r="T57" s="16"/>
      <c r="W57" s="293">
        <f>(F45+G45)/2</f>
        <v>105</v>
      </c>
      <c r="X57" s="217">
        <f>X52+X53*W57+X54*W57^2+X55*W57^3</f>
        <v>4.7771291862500002E-2</v>
      </c>
      <c r="Y57" s="217">
        <f>X57*X51</f>
        <v>7.165693779375E-2</v>
      </c>
    </row>
    <row r="58" spans="1:25" s="2" customFormat="1">
      <c r="A58" s="162"/>
      <c r="B58" s="89"/>
      <c r="C58" s="157"/>
      <c r="D58" s="57"/>
      <c r="E58" s="178"/>
      <c r="F58" s="179"/>
      <c r="G58" s="180"/>
      <c r="H58" s="57"/>
      <c r="I58" s="58"/>
      <c r="J58" s="59"/>
      <c r="K58" s="58"/>
      <c r="L58" s="60"/>
      <c r="M58" s="303"/>
      <c r="N58" s="326"/>
      <c r="O58" s="129"/>
      <c r="P58" s="129"/>
      <c r="Q58" s="36"/>
      <c r="R58" s="36"/>
      <c r="S58" s="36"/>
      <c r="T58" s="16"/>
      <c r="Y58" s="218">
        <f>Y57</f>
        <v>7.165693779375E-2</v>
      </c>
    </row>
    <row r="59" spans="1:25" s="2" customFormat="1">
      <c r="A59" s="162"/>
      <c r="B59" s="89"/>
      <c r="C59" s="168"/>
      <c r="D59" s="57"/>
      <c r="E59" s="178"/>
      <c r="F59" s="179"/>
      <c r="G59" s="180"/>
      <c r="H59" s="57"/>
      <c r="I59" s="58"/>
      <c r="J59" s="59"/>
      <c r="K59" s="58"/>
      <c r="L59" s="60"/>
      <c r="M59" s="303"/>
      <c r="N59" s="326"/>
      <c r="O59" s="129"/>
      <c r="P59" s="129"/>
      <c r="Q59" s="36"/>
      <c r="R59" s="36"/>
      <c r="S59" s="36"/>
      <c r="T59" s="16"/>
    </row>
    <row r="60" spans="1:25" s="2" customFormat="1">
      <c r="A60" s="162"/>
      <c r="B60" s="89"/>
      <c r="C60" s="168"/>
      <c r="D60" s="57"/>
      <c r="E60" s="57"/>
      <c r="F60" s="57"/>
      <c r="G60" s="180"/>
      <c r="H60" s="57"/>
      <c r="I60" s="58"/>
      <c r="J60" s="59"/>
      <c r="K60" s="58"/>
      <c r="L60" s="60"/>
      <c r="M60" s="303"/>
      <c r="N60" s="326"/>
      <c r="O60" s="129"/>
      <c r="P60" s="129"/>
      <c r="Q60" s="36"/>
      <c r="R60" s="36"/>
      <c r="S60" s="36"/>
      <c r="T60" s="16"/>
    </row>
    <row r="61" spans="1:25" customFormat="1">
      <c r="A61" s="56"/>
      <c r="B61" s="89"/>
      <c r="C61" s="168"/>
      <c r="D61" s="57"/>
      <c r="E61" s="57"/>
      <c r="F61" s="58"/>
      <c r="G61" s="59"/>
      <c r="H61" s="58"/>
      <c r="I61" s="60"/>
      <c r="J61" s="2"/>
      <c r="K61" s="2"/>
      <c r="L61" s="280"/>
      <c r="M61" s="280"/>
      <c r="N61" s="16"/>
      <c r="O61" s="980"/>
      <c r="P61" s="980"/>
      <c r="Q61" s="980"/>
      <c r="R61" s="980"/>
      <c r="S61" s="980"/>
      <c r="T61" s="980"/>
      <c r="U61" s="303"/>
      <c r="V61" s="2"/>
    </row>
    <row r="62" spans="1:25" customFormat="1" ht="15.75" thickBot="1">
      <c r="A62" s="56"/>
      <c r="B62" s="16"/>
      <c r="C62" s="129"/>
      <c r="D62" s="38"/>
      <c r="E62" s="16"/>
      <c r="F62" s="16"/>
      <c r="G62" s="16"/>
      <c r="H62" s="58"/>
      <c r="I62" s="60"/>
      <c r="J62" s="2"/>
      <c r="K62" s="2"/>
      <c r="L62" s="280"/>
      <c r="M62" s="280"/>
      <c r="N62" s="16"/>
      <c r="O62" s="966"/>
      <c r="P62" s="966"/>
      <c r="Q62" s="966"/>
      <c r="R62" s="308"/>
      <c r="S62" s="308"/>
      <c r="T62" s="16"/>
      <c r="U62" s="2"/>
      <c r="V62" s="2"/>
    </row>
    <row r="63" spans="1:25" customFormat="1" ht="15.75" thickBot="1">
      <c r="A63" s="169"/>
      <c r="B63" s="170" t="s">
        <v>136</v>
      </c>
      <c r="C63" s="155"/>
      <c r="D63" s="294">
        <v>1.6</v>
      </c>
      <c r="E63" s="16"/>
      <c r="F63" s="16"/>
      <c r="G63" s="16"/>
      <c r="H63" s="58"/>
      <c r="I63" s="60"/>
      <c r="J63" s="2"/>
      <c r="K63" s="2"/>
      <c r="L63" s="280"/>
      <c r="M63" s="280"/>
      <c r="N63" s="16"/>
      <c r="O63" s="966"/>
      <c r="P63" s="966"/>
      <c r="Q63" s="966"/>
      <c r="R63" s="308"/>
      <c r="S63" s="308"/>
      <c r="T63" s="16"/>
      <c r="U63" s="2"/>
      <c r="V63" s="2"/>
    </row>
    <row r="64" spans="1:25" customFormat="1" ht="15.75" thickBot="1">
      <c r="A64" s="169"/>
      <c r="B64" s="170" t="s">
        <v>137</v>
      </c>
      <c r="C64" s="155"/>
      <c r="D64" s="294">
        <v>2</v>
      </c>
      <c r="E64" s="16"/>
      <c r="F64" s="16"/>
      <c r="G64" s="16"/>
      <c r="H64" s="58"/>
      <c r="I64" s="60"/>
      <c r="J64" s="2"/>
      <c r="K64" s="2"/>
      <c r="L64" s="280"/>
      <c r="M64" s="280"/>
      <c r="N64" s="16"/>
      <c r="O64" s="966"/>
      <c r="P64" s="966"/>
      <c r="Q64" s="966"/>
      <c r="R64" s="308"/>
      <c r="S64" s="308"/>
      <c r="T64" s="16"/>
      <c r="U64" s="2"/>
      <c r="V64" s="2"/>
    </row>
    <row r="65" spans="1:27" customFormat="1" ht="15.75" thickBot="1">
      <c r="A65" s="967" t="s">
        <v>86</v>
      </c>
      <c r="B65" s="968"/>
      <c r="C65" s="969"/>
      <c r="D65" s="295">
        <v>55</v>
      </c>
      <c r="E65" s="171" t="s">
        <v>22</v>
      </c>
      <c r="F65" s="58"/>
      <c r="G65" s="59"/>
      <c r="H65" s="58"/>
      <c r="I65" s="60"/>
      <c r="J65" s="2"/>
      <c r="K65" s="2"/>
      <c r="L65" s="280"/>
      <c r="M65" s="280"/>
      <c r="N65" s="16"/>
      <c r="O65" s="966"/>
      <c r="P65" s="966"/>
      <c r="Q65" s="966"/>
      <c r="R65" s="339"/>
      <c r="S65" s="308"/>
      <c r="T65" s="16"/>
      <c r="U65" s="2"/>
      <c r="V65" s="2"/>
    </row>
    <row r="66" spans="1:27" customFormat="1" ht="15.75" thickBot="1">
      <c r="A66" s="984" t="s">
        <v>140</v>
      </c>
      <c r="B66" s="985"/>
      <c r="C66" s="985"/>
      <c r="D66" s="452">
        <v>55</v>
      </c>
      <c r="E66" s="132"/>
      <c r="F66" s="133"/>
      <c r="G66" s="134"/>
      <c r="H66" s="133"/>
      <c r="I66" s="60"/>
      <c r="J66" s="2"/>
      <c r="K66" s="2"/>
      <c r="L66" s="280"/>
      <c r="M66" s="280"/>
      <c r="N66" s="16"/>
      <c r="O66" s="966"/>
      <c r="P66" s="966"/>
      <c r="Q66" s="966"/>
      <c r="R66" s="36"/>
      <c r="S66" s="36"/>
      <c r="T66" s="16"/>
      <c r="U66" s="2"/>
      <c r="V66" s="2"/>
    </row>
    <row r="67" spans="1:27" customFormat="1" ht="15.75" thickBot="1">
      <c r="A67" s="977" t="s">
        <v>141</v>
      </c>
      <c r="B67" s="978"/>
      <c r="C67" s="978"/>
      <c r="D67" s="452">
        <v>35</v>
      </c>
      <c r="E67" s="132"/>
      <c r="F67" s="133"/>
      <c r="G67" s="134"/>
      <c r="H67" s="133"/>
      <c r="I67" s="60"/>
      <c r="J67" s="2"/>
      <c r="K67" s="2"/>
      <c r="L67" s="280"/>
      <c r="M67" s="280"/>
      <c r="N67" s="16"/>
      <c r="O67" s="129"/>
      <c r="P67" s="312"/>
      <c r="Q67" s="36"/>
      <c r="R67" s="36"/>
      <c r="S67" s="36"/>
      <c r="T67" s="16"/>
      <c r="U67" s="2"/>
      <c r="V67" s="2"/>
    </row>
    <row r="68" spans="1:27" ht="15.75" thickBot="1">
      <c r="A68" s="977" t="s">
        <v>79</v>
      </c>
      <c r="B68" s="978"/>
      <c r="C68" s="978"/>
      <c r="D68" s="453">
        <v>0.8</v>
      </c>
      <c r="E68" s="132"/>
      <c r="F68" s="133"/>
      <c r="G68" s="134"/>
      <c r="H68" s="133"/>
      <c r="I68" s="60"/>
      <c r="J68" s="2"/>
      <c r="K68" s="2"/>
      <c r="L68" s="280"/>
      <c r="M68" s="280"/>
      <c r="N68" s="979"/>
      <c r="O68" s="979"/>
      <c r="P68" s="16"/>
      <c r="Q68" s="16"/>
      <c r="R68" s="16"/>
      <c r="S68" s="16"/>
      <c r="Z68" s="16"/>
      <c r="AA68" s="16"/>
    </row>
    <row r="69" spans="1:27" ht="15.75" thickBot="1">
      <c r="A69" s="958" t="s">
        <v>302</v>
      </c>
      <c r="B69" s="959"/>
      <c r="C69" s="959"/>
      <c r="D69" s="420">
        <v>0.85</v>
      </c>
      <c r="E69" s="132"/>
      <c r="F69" s="133"/>
      <c r="G69" s="134"/>
      <c r="H69" s="133"/>
      <c r="I69" s="60"/>
      <c r="J69" s="2"/>
      <c r="K69" s="2"/>
      <c r="L69" s="280"/>
      <c r="M69" s="280"/>
      <c r="N69" s="385"/>
      <c r="O69" s="385"/>
      <c r="P69" s="16"/>
      <c r="Q69" s="16"/>
      <c r="R69" s="16"/>
      <c r="S69" s="16"/>
      <c r="Z69" s="16"/>
      <c r="AA69" s="16"/>
    </row>
    <row r="70" spans="1:27" ht="15.75" thickBot="1">
      <c r="A70" s="382"/>
      <c r="B70" s="383"/>
      <c r="C70" s="383"/>
      <c r="D70" s="296"/>
      <c r="E70" s="132"/>
      <c r="F70" s="133"/>
      <c r="G70" s="134"/>
      <c r="H70" s="133"/>
      <c r="I70" s="60"/>
      <c r="J70" s="2"/>
      <c r="K70" s="2"/>
      <c r="L70" s="280"/>
      <c r="M70" s="280"/>
      <c r="N70" s="385"/>
      <c r="O70" s="385"/>
      <c r="P70" s="16"/>
      <c r="Q70" s="16"/>
      <c r="R70" s="16"/>
      <c r="S70" s="16"/>
      <c r="Z70" s="16"/>
      <c r="AA70" s="16"/>
    </row>
    <row r="71" spans="1:27" ht="15.75" thickBot="1">
      <c r="A71" s="982" t="s">
        <v>153</v>
      </c>
      <c r="B71" s="983"/>
      <c r="C71" s="983"/>
      <c r="D71" s="305">
        <v>0.05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</row>
    <row r="73" spans="1:27">
      <c r="A73" s="846" t="s">
        <v>42</v>
      </c>
      <c r="B73" s="846"/>
      <c r="C73" s="846"/>
      <c r="D73" s="846"/>
      <c r="E73" s="846"/>
      <c r="F73" s="846"/>
      <c r="G73" s="846"/>
      <c r="H73" s="846"/>
      <c r="I73" s="846"/>
      <c r="J73" s="846"/>
      <c r="K73" s="846"/>
      <c r="L73" s="846"/>
      <c r="M73" s="846"/>
      <c r="N73" s="846"/>
      <c r="O73" s="846"/>
      <c r="P73" s="846"/>
      <c r="Q73" s="846"/>
      <c r="R73" s="846"/>
      <c r="S73" s="846"/>
      <c r="T73" s="846"/>
      <c r="U73" s="203"/>
    </row>
    <row r="74" spans="1:27">
      <c r="A74" s="17" t="s">
        <v>157</v>
      </c>
      <c r="J74" s="17" t="s">
        <v>156</v>
      </c>
    </row>
    <row r="83" spans="1:2">
      <c r="A83" s="277" t="s">
        <v>158</v>
      </c>
      <c r="B83" s="277" t="s">
        <v>46</v>
      </c>
    </row>
    <row r="84" spans="1:2">
      <c r="A84" s="278">
        <v>10</v>
      </c>
      <c r="B84" s="279">
        <v>1.7999999999999999E-2</v>
      </c>
    </row>
    <row r="85" spans="1:2">
      <c r="A85" s="278">
        <v>15</v>
      </c>
      <c r="B85" s="279">
        <v>2.1999999999999999E-2</v>
      </c>
    </row>
    <row r="86" spans="1:2">
      <c r="A86" s="278">
        <v>20</v>
      </c>
      <c r="B86" s="279">
        <v>2.7E-2</v>
      </c>
    </row>
    <row r="87" spans="1:2">
      <c r="A87" s="278">
        <v>25</v>
      </c>
      <c r="B87" s="279">
        <v>3.4000000000000002E-2</v>
      </c>
    </row>
    <row r="88" spans="1:2">
      <c r="A88" s="278">
        <v>32</v>
      </c>
      <c r="B88" s="279">
        <v>4.2999999999999997E-2</v>
      </c>
    </row>
    <row r="89" spans="1:2">
      <c r="A89" s="278">
        <v>40</v>
      </c>
      <c r="B89" s="279">
        <v>4.9000000000000002E-2</v>
      </c>
    </row>
    <row r="90" spans="1:2">
      <c r="A90" s="278">
        <v>50</v>
      </c>
      <c r="B90" s="279">
        <v>6.0999999999999999E-2</v>
      </c>
    </row>
    <row r="91" spans="1:2">
      <c r="A91" s="278">
        <v>60</v>
      </c>
      <c r="B91" s="279">
        <v>7.1999999999999995E-2</v>
      </c>
    </row>
    <row r="92" spans="1:2">
      <c r="A92" s="278">
        <v>65</v>
      </c>
      <c r="B92" s="279">
        <v>7.6999999999999999E-2</v>
      </c>
    </row>
    <row r="93" spans="1:2">
      <c r="A93" s="278">
        <v>80</v>
      </c>
      <c r="B93" s="279">
        <v>8.8999999999999996E-2</v>
      </c>
    </row>
    <row r="94" spans="1:2">
      <c r="A94" s="278">
        <v>100</v>
      </c>
      <c r="B94" s="279">
        <v>0.115</v>
      </c>
    </row>
    <row r="95" spans="1:2">
      <c r="A95" s="278">
        <v>125</v>
      </c>
      <c r="B95" s="279">
        <v>0.14099999999999999</v>
      </c>
    </row>
    <row r="96" spans="1:2">
      <c r="A96" s="278">
        <v>150</v>
      </c>
      <c r="B96" s="279">
        <v>0.16900000000000001</v>
      </c>
    </row>
    <row r="97" spans="1:2">
      <c r="A97" s="278">
        <v>200</v>
      </c>
      <c r="B97" s="279">
        <v>0.22</v>
      </c>
    </row>
    <row r="98" spans="1:2">
      <c r="A98" s="278">
        <v>250</v>
      </c>
      <c r="B98" s="279">
        <v>0.27300000000000002</v>
      </c>
    </row>
    <row r="99" spans="1:2">
      <c r="A99" s="278">
        <v>300</v>
      </c>
      <c r="B99" s="279">
        <v>0.32400000000000001</v>
      </c>
    </row>
    <row r="100" spans="1:2">
      <c r="A100" s="278">
        <v>350</v>
      </c>
      <c r="B100" s="279">
        <v>0.35599999999999998</v>
      </c>
    </row>
    <row r="101" spans="1:2">
      <c r="A101" s="278">
        <v>400</v>
      </c>
      <c r="B101" s="279">
        <v>0.40699999999999997</v>
      </c>
    </row>
    <row r="102" spans="1:2">
      <c r="A102" s="278">
        <v>450</v>
      </c>
      <c r="B102" s="279">
        <v>0.45800000000000002</v>
      </c>
    </row>
    <row r="103" spans="1:2">
      <c r="A103" s="278">
        <v>500</v>
      </c>
      <c r="B103" s="279">
        <v>0.50800000000000001</v>
      </c>
    </row>
    <row r="104" spans="1:2">
      <c r="A104" s="278">
        <v>600</v>
      </c>
      <c r="B104" s="279">
        <v>0.61</v>
      </c>
    </row>
    <row r="105" spans="1:2">
      <c r="A105" s="278">
        <v>700</v>
      </c>
      <c r="B105" s="279">
        <v>0.71199999999999997</v>
      </c>
    </row>
    <row r="106" spans="1:2">
      <c r="A106" s="278">
        <v>800</v>
      </c>
      <c r="B106" s="279">
        <v>0.81299999999999994</v>
      </c>
    </row>
    <row r="107" spans="1:2">
      <c r="A107" s="278">
        <v>900</v>
      </c>
      <c r="B107" s="279">
        <v>0.91500000000000004</v>
      </c>
    </row>
    <row r="108" spans="1:2">
      <c r="A108" s="278">
        <v>1000</v>
      </c>
      <c r="B108" s="279">
        <v>1.016</v>
      </c>
    </row>
    <row r="109" spans="1:2">
      <c r="A109" s="278">
        <v>1100</v>
      </c>
      <c r="B109" s="279">
        <v>1.1200000000000001</v>
      </c>
    </row>
    <row r="110" spans="1:2">
      <c r="A110" s="278">
        <v>1200</v>
      </c>
      <c r="B110" s="279">
        <v>1.22</v>
      </c>
    </row>
    <row r="111" spans="1:2">
      <c r="A111" s="278">
        <v>1400</v>
      </c>
      <c r="B111" s="279">
        <v>1.42</v>
      </c>
    </row>
    <row r="112" spans="1:2">
      <c r="A112" s="278">
        <v>1500</v>
      </c>
      <c r="B112" s="279">
        <v>1.52</v>
      </c>
    </row>
    <row r="113" spans="1:22">
      <c r="A113" s="278">
        <v>1600</v>
      </c>
      <c r="B113" s="279">
        <v>1.62</v>
      </c>
    </row>
    <row r="114" spans="1:22">
      <c r="A114" s="278">
        <v>1800</v>
      </c>
      <c r="B114" s="279">
        <v>1.82</v>
      </c>
    </row>
    <row r="115" spans="1:22">
      <c r="A115" s="278">
        <v>2000</v>
      </c>
      <c r="B115" s="279">
        <v>2.02</v>
      </c>
    </row>
    <row r="116" spans="1:22">
      <c r="A116" s="278">
        <v>2000</v>
      </c>
      <c r="B116" s="279">
        <v>2.02</v>
      </c>
    </row>
    <row r="117" spans="1:22">
      <c r="A117" s="278">
        <v>2200</v>
      </c>
      <c r="B117" s="279">
        <v>2.2200000000000002</v>
      </c>
    </row>
    <row r="118" spans="1:22">
      <c r="A118" s="278">
        <v>2400</v>
      </c>
      <c r="B118" s="279">
        <v>2.42</v>
      </c>
    </row>
    <row r="119" spans="1:22">
      <c r="A119" s="278">
        <v>2600</v>
      </c>
      <c r="B119" s="279">
        <v>2.62</v>
      </c>
    </row>
    <row r="120" spans="1:22">
      <c r="A120" s="278">
        <v>2800</v>
      </c>
      <c r="B120" s="279">
        <v>2.82</v>
      </c>
    </row>
    <row r="121" spans="1:22">
      <c r="A121" s="278">
        <v>3000</v>
      </c>
      <c r="B121" s="279">
        <v>3.02</v>
      </c>
    </row>
    <row r="122" spans="1:22">
      <c r="A122" s="278">
        <v>3200</v>
      </c>
      <c r="B122" s="279">
        <v>3.22</v>
      </c>
    </row>
    <row r="123" spans="1:22">
      <c r="A123" s="278">
        <v>3400</v>
      </c>
      <c r="B123" s="279">
        <v>3.42</v>
      </c>
    </row>
    <row r="127" spans="1:22" ht="60.75" thickBot="1">
      <c r="A127" s="802" t="s">
        <v>5</v>
      </c>
      <c r="B127" s="803"/>
      <c r="C127" s="494" t="s">
        <v>158</v>
      </c>
      <c r="D127" s="494" t="s">
        <v>102</v>
      </c>
      <c r="E127" s="494" t="s">
        <v>103</v>
      </c>
      <c r="F127" s="82" t="s">
        <v>40</v>
      </c>
      <c r="G127" s="82" t="s">
        <v>29</v>
      </c>
      <c r="H127" s="82" t="s">
        <v>30</v>
      </c>
      <c r="I127" s="84" t="s">
        <v>78</v>
      </c>
      <c r="J127" s="82" t="s">
        <v>59</v>
      </c>
      <c r="K127" s="82" t="s">
        <v>58</v>
      </c>
      <c r="L127" s="83" t="s">
        <v>13</v>
      </c>
      <c r="M127" s="112" t="s">
        <v>106</v>
      </c>
      <c r="N127" s="83" t="s">
        <v>152</v>
      </c>
      <c r="O127" s="83" t="s">
        <v>105</v>
      </c>
      <c r="P127" s="83" t="s">
        <v>26</v>
      </c>
      <c r="Q127" s="113" t="s">
        <v>107</v>
      </c>
      <c r="R127" s="78" t="s">
        <v>139</v>
      </c>
      <c r="S127" s="80" t="s">
        <v>84</v>
      </c>
      <c r="T127" s="80" t="s">
        <v>85</v>
      </c>
      <c r="U127" s="80"/>
      <c r="V127" s="80"/>
    </row>
    <row r="128" spans="1:22" ht="15.75" thickBot="1">
      <c r="A128" s="971"/>
      <c r="B128" s="972"/>
      <c r="C128" s="490"/>
      <c r="D128" s="226"/>
      <c r="E128" s="490"/>
      <c r="F128" s="490"/>
      <c r="G128" s="224"/>
      <c r="H128" s="224"/>
      <c r="I128" s="228"/>
      <c r="J128" s="224"/>
      <c r="K128" s="228"/>
      <c r="L128" s="510">
        <v>1</v>
      </c>
      <c r="M128" s="511">
        <v>32</v>
      </c>
      <c r="N128" s="510">
        <v>33</v>
      </c>
      <c r="O128" s="510">
        <v>34</v>
      </c>
      <c r="P128" s="510">
        <f>IF(M128&lt;10,N128+L128,O128+L128)</f>
        <v>35</v>
      </c>
      <c r="Q128" s="510">
        <v>42</v>
      </c>
      <c r="R128" s="510">
        <v>43</v>
      </c>
      <c r="S128" s="513">
        <v>44</v>
      </c>
      <c r="T128" s="513">
        <v>6</v>
      </c>
      <c r="U128" s="61"/>
      <c r="V128" s="61"/>
    </row>
    <row r="129" spans="1:22" ht="15.75" thickBot="1">
      <c r="A129" s="971" t="s">
        <v>290</v>
      </c>
      <c r="B129" s="972"/>
      <c r="C129" s="490"/>
      <c r="D129" s="226"/>
      <c r="E129" s="490"/>
      <c r="F129" s="490"/>
      <c r="G129" s="418" t="s">
        <v>368</v>
      </c>
      <c r="H129" s="418" t="s">
        <v>368</v>
      </c>
      <c r="I129" s="228"/>
      <c r="J129" s="224"/>
      <c r="K129" s="228"/>
      <c r="L129" s="510">
        <v>1</v>
      </c>
      <c r="M129" s="511">
        <v>32</v>
      </c>
      <c r="N129" s="510">
        <v>33</v>
      </c>
      <c r="O129" s="510">
        <v>34</v>
      </c>
      <c r="P129" s="510">
        <f>IF(M129&lt;10,N129+L129,O129+L129)</f>
        <v>35</v>
      </c>
      <c r="Q129" s="510">
        <v>42</v>
      </c>
      <c r="R129" s="510">
        <v>43</v>
      </c>
      <c r="S129" s="513">
        <v>44</v>
      </c>
      <c r="T129" s="513">
        <v>6</v>
      </c>
      <c r="U129" s="79"/>
      <c r="V129" s="79"/>
    </row>
    <row r="130" spans="1:22" ht="18.75">
      <c r="A130" s="971" t="s">
        <v>291</v>
      </c>
      <c r="B130" s="972"/>
      <c r="C130" s="490"/>
      <c r="D130" s="226"/>
      <c r="E130" s="490"/>
      <c r="F130" s="490"/>
      <c r="G130" s="490"/>
      <c r="H130" s="490"/>
      <c r="I130" s="228"/>
      <c r="J130" s="224"/>
      <c r="K130" s="228"/>
      <c r="L130" s="510">
        <v>1</v>
      </c>
      <c r="M130" s="511">
        <v>32</v>
      </c>
      <c r="N130" s="510">
        <v>33</v>
      </c>
      <c r="O130" s="510">
        <v>34</v>
      </c>
      <c r="P130" s="510">
        <f>IF(M130&lt;10,N130+L130,O130+L130)</f>
        <v>35</v>
      </c>
      <c r="Q130" s="510">
        <v>42</v>
      </c>
      <c r="R130" s="418" t="s">
        <v>368</v>
      </c>
      <c r="S130" s="513">
        <v>44</v>
      </c>
      <c r="T130" s="513">
        <v>6</v>
      </c>
      <c r="U130" s="186" t="s">
        <v>61</v>
      </c>
      <c r="V130" s="187" t="s">
        <v>23</v>
      </c>
    </row>
    <row r="131" spans="1:22">
      <c r="A131" s="56"/>
      <c r="B131" s="56"/>
      <c r="C131" s="56"/>
      <c r="D131" s="56"/>
      <c r="E131" s="182"/>
      <c r="F131" s="182"/>
      <c r="G131" s="57"/>
      <c r="H131" s="57"/>
      <c r="I131" s="57"/>
      <c r="J131" s="58"/>
      <c r="K131" s="59"/>
      <c r="L131" s="59"/>
      <c r="M131" s="58"/>
      <c r="N131" s="208"/>
      <c r="O131" s="209"/>
      <c r="P131" s="209"/>
      <c r="Q131" s="210"/>
      <c r="R131" s="211"/>
      <c r="S131" s="487"/>
      <c r="T131" s="487"/>
      <c r="U131" s="507">
        <v>26</v>
      </c>
      <c r="V131" s="507">
        <v>28</v>
      </c>
    </row>
    <row r="132" spans="1:22" ht="15.75" thickBot="1">
      <c r="A132" s="56"/>
      <c r="B132" s="56"/>
      <c r="C132" s="57"/>
      <c r="D132" s="57"/>
      <c r="E132" s="183"/>
      <c r="F132" s="59"/>
      <c r="G132" s="57"/>
      <c r="H132" s="57"/>
      <c r="I132" s="57"/>
      <c r="J132" s="58"/>
      <c r="K132" s="59"/>
      <c r="L132" s="58"/>
      <c r="M132" s="60"/>
      <c r="N132" s="123"/>
      <c r="O132" s="123"/>
      <c r="P132" s="129"/>
      <c r="Q132" s="129"/>
      <c r="R132" s="487"/>
      <c r="S132" s="487"/>
      <c r="T132" s="487"/>
      <c r="U132" s="507">
        <v>27</v>
      </c>
      <c r="V132" s="507">
        <v>29</v>
      </c>
    </row>
    <row r="133" spans="1:22">
      <c r="A133" s="56"/>
      <c r="B133" s="56"/>
      <c r="C133" s="56"/>
      <c r="D133" s="57"/>
      <c r="E133" s="58"/>
      <c r="F133" s="58"/>
      <c r="G133" s="57"/>
      <c r="H133" s="57"/>
      <c r="I133" s="57"/>
      <c r="J133" s="58"/>
      <c r="K133" s="59"/>
      <c r="L133" s="58"/>
      <c r="M133" s="927">
        <v>49</v>
      </c>
      <c r="N133" s="928"/>
      <c r="O133" s="928"/>
      <c r="P133" s="928"/>
      <c r="Q133" s="928"/>
      <c r="R133" s="929"/>
      <c r="S133" s="487"/>
      <c r="T133" s="487"/>
      <c r="U133" s="487"/>
    </row>
    <row r="134" spans="1:22">
      <c r="A134" s="56"/>
      <c r="B134" s="56"/>
      <c r="C134" s="56"/>
      <c r="D134" s="57"/>
      <c r="E134" s="60"/>
      <c r="G134" s="57"/>
      <c r="H134" s="57"/>
      <c r="I134" s="57"/>
      <c r="J134" s="58"/>
      <c r="K134" s="59"/>
      <c r="L134" s="58"/>
      <c r="M134" s="930"/>
      <c r="N134" s="931"/>
      <c r="O134" s="931"/>
      <c r="P134" s="931"/>
      <c r="Q134" s="931"/>
      <c r="R134" s="932"/>
      <c r="S134" s="487"/>
      <c r="T134" s="487"/>
      <c r="U134" s="487"/>
    </row>
    <row r="135" spans="1:22" ht="15.75" thickBot="1">
      <c r="A135" s="56"/>
      <c r="B135" s="56"/>
      <c r="C135" s="56"/>
      <c r="D135" s="57"/>
      <c r="E135" s="58"/>
      <c r="F135" s="58"/>
      <c r="G135" s="57"/>
      <c r="H135" s="57"/>
      <c r="I135" s="57"/>
      <c r="J135" s="58"/>
      <c r="K135" s="59"/>
      <c r="L135" s="58"/>
      <c r="M135" s="933"/>
      <c r="N135" s="934"/>
      <c r="O135" s="934"/>
      <c r="P135" s="934"/>
      <c r="Q135" s="934"/>
      <c r="R135" s="935"/>
      <c r="S135" s="487"/>
      <c r="T135" s="487"/>
      <c r="U135" s="487"/>
    </row>
    <row r="136" spans="1:22">
      <c r="A136" s="56"/>
      <c r="B136" s="56"/>
      <c r="C136" s="56"/>
      <c r="D136" s="57"/>
      <c r="E136" s="58"/>
      <c r="F136" s="58"/>
      <c r="G136" s="57"/>
      <c r="H136" s="57"/>
      <c r="I136" s="57"/>
      <c r="J136" s="58"/>
      <c r="K136" s="59"/>
      <c r="L136" s="58"/>
      <c r="M136" s="60"/>
      <c r="N136" s="123"/>
      <c r="O136" s="123"/>
      <c r="P136" s="129"/>
      <c r="Q136" s="129"/>
      <c r="R136" s="487"/>
      <c r="S136" s="487"/>
      <c r="T136" s="487"/>
      <c r="U136" s="487"/>
    </row>
  </sheetData>
  <mergeCells count="63">
    <mergeCell ref="A73:T73"/>
    <mergeCell ref="A71:C71"/>
    <mergeCell ref="A67:C67"/>
    <mergeCell ref="A65:C65"/>
    <mergeCell ref="O65:Q65"/>
    <mergeCell ref="A66:C66"/>
    <mergeCell ref="O66:Q66"/>
    <mergeCell ref="A69:C69"/>
    <mergeCell ref="U43:V43"/>
    <mergeCell ref="A46:B46"/>
    <mergeCell ref="W50:X50"/>
    <mergeCell ref="A68:C68"/>
    <mergeCell ref="N68:O68"/>
    <mergeCell ref="O63:Q63"/>
    <mergeCell ref="O64:Q64"/>
    <mergeCell ref="O61:T61"/>
    <mergeCell ref="O62:Q62"/>
    <mergeCell ref="A56:C56"/>
    <mergeCell ref="M50:R52"/>
    <mergeCell ref="A45:B45"/>
    <mergeCell ref="A54:T54"/>
    <mergeCell ref="A55:C55"/>
    <mergeCell ref="S43:T43"/>
    <mergeCell ref="A47:B47"/>
    <mergeCell ref="C25:E26"/>
    <mergeCell ref="F25:G26"/>
    <mergeCell ref="H25:H26"/>
    <mergeCell ref="M25:P27"/>
    <mergeCell ref="A44:B44"/>
    <mergeCell ref="Q14:R15"/>
    <mergeCell ref="O16:P17"/>
    <mergeCell ref="Q16:R17"/>
    <mergeCell ref="C17:E18"/>
    <mergeCell ref="F17:G18"/>
    <mergeCell ref="M18:N21"/>
    <mergeCell ref="Q18:R19"/>
    <mergeCell ref="Q20:R21"/>
    <mergeCell ref="C21:E22"/>
    <mergeCell ref="F21:G22"/>
    <mergeCell ref="H21:H22"/>
    <mergeCell ref="O18:O19"/>
    <mergeCell ref="P18:P19"/>
    <mergeCell ref="O20:O21"/>
    <mergeCell ref="P20:P21"/>
    <mergeCell ref="C5:E6"/>
    <mergeCell ref="K5:M6"/>
    <mergeCell ref="N5:O6"/>
    <mergeCell ref="K8:M9"/>
    <mergeCell ref="N8:O9"/>
    <mergeCell ref="P8:P9"/>
    <mergeCell ref="C13:C14"/>
    <mergeCell ref="D13:E14"/>
    <mergeCell ref="F13:F14"/>
    <mergeCell ref="G13:H14"/>
    <mergeCell ref="I13:J14"/>
    <mergeCell ref="K13:K14"/>
    <mergeCell ref="M14:N17"/>
    <mergeCell ref="O14:P15"/>
    <mergeCell ref="A127:B127"/>
    <mergeCell ref="A128:B128"/>
    <mergeCell ref="A129:B129"/>
    <mergeCell ref="A130:B130"/>
    <mergeCell ref="M133:R135"/>
  </mergeCells>
  <conditionalFormatting sqref="F25:G26">
    <cfRule type="cellIs" dxfId="5" priority="1" operator="greaterThan">
      <formula>55</formula>
    </cfRule>
  </conditionalFormatting>
  <dataValidations count="1">
    <dataValidation type="list" allowBlank="1" showInputMessage="1" showErrorMessage="1" promptTitle="Select a value " sqref="F17">
      <formula1>emissivity</formula1>
    </dataValidation>
  </dataValidations>
  <pageMargins left="0.7" right="0.7" top="0.75" bottom="0.75" header="0.3" footer="0.3"/>
  <pageSetup orientation="portrait" r:id="rId1"/>
  <drawing r:id="rId2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EA2676C-D892-45BE-9D8E-B8847BAC12AE}">
          <x14:formula1>
            <xm:f>'Default values '!$C$2:$C$10</xm:f>
          </x14:formula1>
          <xm:sqref>N5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>
  <dimension ref="A1:Z93"/>
  <sheetViews>
    <sheetView workbookViewId="0">
      <selection activeCell="M48" sqref="M48"/>
    </sheetView>
  </sheetViews>
  <sheetFormatPr baseColWidth="10" defaultColWidth="8.85546875" defaultRowHeight="15"/>
  <cols>
    <col min="1" max="2" width="5.28515625" style="17" customWidth="1"/>
    <col min="3" max="3" width="13" style="17" customWidth="1"/>
    <col min="4" max="4" width="8.7109375" style="17" customWidth="1"/>
    <col min="5" max="6" width="7.7109375" style="17" customWidth="1"/>
    <col min="7" max="11" width="8.7109375" style="17" customWidth="1"/>
    <col min="12" max="12" width="6.85546875" style="17" customWidth="1"/>
    <col min="13" max="13" width="11.28515625" style="17" customWidth="1"/>
    <col min="14" max="14" width="8.7109375" style="17" customWidth="1"/>
    <col min="15" max="16" width="12.42578125" style="17" customWidth="1"/>
    <col min="17" max="17" width="8.7109375" style="17" customWidth="1"/>
    <col min="18" max="19" width="5.7109375" style="17" customWidth="1"/>
    <col min="20" max="20" width="12" style="16" bestFit="1" customWidth="1"/>
    <col min="21" max="26" width="8.85546875" style="16"/>
    <col min="27" max="16384" width="8.85546875" style="17"/>
  </cols>
  <sheetData>
    <row r="1" spans="1:26" ht="15" customHeight="1">
      <c r="A1" s="669"/>
      <c r="B1" s="669"/>
      <c r="C1" s="669"/>
      <c r="D1" s="669"/>
      <c r="E1" s="669"/>
      <c r="F1" s="669"/>
      <c r="G1" s="669"/>
      <c r="H1" s="669"/>
      <c r="I1" s="669"/>
      <c r="J1" s="669"/>
      <c r="K1" s="669"/>
      <c r="L1" s="669"/>
      <c r="M1" s="669"/>
      <c r="N1" s="669"/>
      <c r="O1" s="669"/>
      <c r="P1" s="669"/>
      <c r="Q1" s="669"/>
      <c r="R1" s="669"/>
      <c r="S1" s="669"/>
    </row>
    <row r="2" spans="1:26" ht="15" customHeight="1">
      <c r="A2" s="669"/>
      <c r="B2" s="15"/>
      <c r="C2" s="15"/>
      <c r="D2" s="15"/>
      <c r="E2" s="15"/>
      <c r="F2" s="15"/>
      <c r="G2" s="669"/>
      <c r="H2" s="669"/>
      <c r="I2" s="669"/>
      <c r="J2" s="669"/>
      <c r="K2" s="669"/>
      <c r="L2" s="669"/>
      <c r="M2" s="669"/>
      <c r="N2" s="669"/>
      <c r="O2" s="669"/>
      <c r="P2" s="669"/>
      <c r="Q2" s="669"/>
      <c r="R2" s="669"/>
      <c r="S2" s="669"/>
    </row>
    <row r="3" spans="1:26" ht="7.9" customHeight="1">
      <c r="A3" s="669"/>
      <c r="B3" s="21"/>
      <c r="C3" s="21"/>
      <c r="D3" s="21"/>
      <c r="E3" s="21"/>
      <c r="F3" s="21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669"/>
    </row>
    <row r="4" spans="1:26" ht="5.45" customHeight="1">
      <c r="A4" s="669"/>
      <c r="B4" s="669"/>
      <c r="C4" s="669"/>
      <c r="D4" s="669"/>
      <c r="E4" s="669"/>
      <c r="F4" s="669"/>
      <c r="G4" s="669"/>
      <c r="H4" s="669"/>
      <c r="I4" s="669"/>
      <c r="J4" s="669"/>
      <c r="K4" s="669"/>
      <c r="L4" s="669"/>
      <c r="M4" s="669"/>
      <c r="N4" s="669"/>
      <c r="O4" s="669"/>
      <c r="P4" s="669"/>
      <c r="Q4" s="669"/>
      <c r="R4" s="669"/>
      <c r="S4" s="669"/>
      <c r="T4" s="24"/>
    </row>
    <row r="5" spans="1:26" s="23" customFormat="1" ht="15" customHeight="1">
      <c r="A5" s="26"/>
      <c r="B5" s="28"/>
      <c r="C5" s="797" t="s">
        <v>15</v>
      </c>
      <c r="D5" s="797"/>
      <c r="E5" s="797"/>
      <c r="F5" s="32" t="s">
        <v>37</v>
      </c>
      <c r="G5" s="947" t="s">
        <v>319</v>
      </c>
      <c r="H5" s="947"/>
      <c r="I5" s="947"/>
      <c r="J5" s="947"/>
      <c r="K5" s="799" t="s">
        <v>14</v>
      </c>
      <c r="L5" s="799"/>
      <c r="M5" s="799"/>
      <c r="N5" s="970" t="s">
        <v>33</v>
      </c>
      <c r="O5" s="970"/>
      <c r="P5" s="32">
        <f>VLOOKUP(N5,'Default values '!C2:D10,2,TRUE)</f>
        <v>8760</v>
      </c>
      <c r="Q5" s="28"/>
      <c r="R5" s="28"/>
      <c r="S5" s="28"/>
      <c r="T5" s="25"/>
      <c r="U5" s="22"/>
      <c r="V5" s="22"/>
      <c r="W5" s="22"/>
      <c r="X5" s="22"/>
      <c r="Y5" s="22"/>
      <c r="Z5" s="22"/>
    </row>
    <row r="6" spans="1:26" ht="15" customHeight="1">
      <c r="A6" s="669"/>
      <c r="B6" s="14"/>
      <c r="C6" s="797"/>
      <c r="D6" s="797"/>
      <c r="E6" s="797"/>
      <c r="F6" s="32"/>
      <c r="G6" s="947"/>
      <c r="H6" s="947"/>
      <c r="I6" s="947"/>
      <c r="J6" s="947"/>
      <c r="K6" s="799"/>
      <c r="L6" s="799"/>
      <c r="M6" s="799"/>
      <c r="N6" s="970"/>
      <c r="O6" s="970"/>
      <c r="P6" s="14"/>
      <c r="Q6" s="14"/>
      <c r="R6" s="14"/>
      <c r="S6" s="14"/>
    </row>
    <row r="7" spans="1:26" ht="15" customHeight="1">
      <c r="A7" s="669"/>
      <c r="B7" s="14"/>
      <c r="C7" s="671"/>
      <c r="D7" s="671"/>
      <c r="E7" s="671"/>
      <c r="F7" s="42"/>
      <c r="G7" s="276"/>
      <c r="H7" s="276"/>
      <c r="I7" s="276"/>
      <c r="J7" s="276"/>
      <c r="K7" s="14"/>
      <c r="L7" s="14"/>
      <c r="M7" s="14"/>
      <c r="N7" s="14"/>
      <c r="O7" s="14"/>
      <c r="P7" s="14"/>
      <c r="Q7" s="14"/>
      <c r="R7" s="14"/>
      <c r="S7" s="14"/>
    </row>
    <row r="8" spans="1:26" ht="15" customHeight="1">
      <c r="A8" s="669"/>
      <c r="B8" s="14"/>
      <c r="C8" s="671"/>
      <c r="D8" s="671"/>
      <c r="E8" s="671"/>
      <c r="F8" s="42"/>
      <c r="G8" s="276"/>
      <c r="H8" s="276"/>
      <c r="I8" s="276"/>
      <c r="J8" s="276"/>
      <c r="K8" s="799" t="s">
        <v>39</v>
      </c>
      <c r="L8" s="799"/>
      <c r="M8" s="799"/>
      <c r="N8" s="850">
        <v>200</v>
      </c>
      <c r="O8" s="850"/>
      <c r="P8" s="793" t="s">
        <v>22</v>
      </c>
      <c r="Q8" s="14"/>
      <c r="R8" s="14"/>
      <c r="S8" s="14"/>
    </row>
    <row r="9" spans="1:26" s="23" customFormat="1" ht="15" customHeight="1">
      <c r="A9" s="669"/>
      <c r="B9" s="14"/>
      <c r="C9" s="671"/>
      <c r="D9" s="671"/>
      <c r="E9" s="671"/>
      <c r="F9" s="42"/>
      <c r="G9" s="276"/>
      <c r="H9" s="276"/>
      <c r="I9" s="276"/>
      <c r="J9" s="276"/>
      <c r="K9" s="799"/>
      <c r="L9" s="799"/>
      <c r="M9" s="799"/>
      <c r="N9" s="850"/>
      <c r="O9" s="850"/>
      <c r="P9" s="793"/>
      <c r="Q9" s="26"/>
      <c r="R9" s="26"/>
      <c r="S9" s="26"/>
      <c r="T9" s="22"/>
      <c r="U9" s="22"/>
      <c r="V9" s="22"/>
      <c r="W9" s="22"/>
      <c r="X9" s="22"/>
      <c r="Y9" s="22"/>
      <c r="Z9" s="22"/>
    </row>
    <row r="10" spans="1:26" ht="15" customHeight="1">
      <c r="A10" s="669"/>
      <c r="B10" s="14"/>
      <c r="C10" s="671"/>
      <c r="D10" s="671"/>
      <c r="E10" s="671"/>
      <c r="F10" s="42"/>
      <c r="G10" s="42"/>
      <c r="H10" s="42"/>
      <c r="I10" s="669"/>
      <c r="J10" s="669"/>
      <c r="K10" s="669"/>
      <c r="L10" s="669"/>
      <c r="M10" s="669"/>
      <c r="N10" s="669"/>
      <c r="O10" s="669"/>
      <c r="P10" s="669"/>
      <c r="Q10" s="669"/>
      <c r="R10" s="669"/>
      <c r="S10" s="669"/>
    </row>
    <row r="11" spans="1:26" ht="15" customHeight="1" thickBot="1">
      <c r="A11" s="669"/>
      <c r="B11" s="14"/>
      <c r="C11" s="14"/>
      <c r="D11" s="14"/>
      <c r="E11" s="14"/>
      <c r="F11" s="14"/>
      <c r="G11" s="14"/>
      <c r="H11" s="14"/>
      <c r="I11" s="669"/>
      <c r="J11" s="669"/>
      <c r="K11" s="669"/>
      <c r="L11" s="669"/>
      <c r="M11" s="669"/>
      <c r="N11" s="669"/>
      <c r="O11" s="669"/>
      <c r="P11" s="669"/>
      <c r="Q11" s="669"/>
      <c r="R11" s="669"/>
      <c r="S11" s="669"/>
    </row>
    <row r="12" spans="1:26" ht="15" customHeight="1" thickTop="1">
      <c r="A12" s="669"/>
      <c r="B12" s="29"/>
      <c r="C12" s="30"/>
      <c r="D12" s="30"/>
      <c r="E12" s="30"/>
      <c r="F12" s="30"/>
      <c r="G12" s="30"/>
      <c r="H12" s="30"/>
      <c r="I12" s="6"/>
      <c r="J12" s="6"/>
      <c r="K12" s="48"/>
      <c r="L12" s="669"/>
      <c r="M12" s="15"/>
      <c r="N12" s="15"/>
      <c r="O12" s="15"/>
      <c r="P12" s="15"/>
      <c r="Q12" s="15"/>
      <c r="R12" s="15"/>
      <c r="S12" s="669"/>
    </row>
    <row r="13" spans="1:26" s="23" customFormat="1" ht="15" customHeight="1">
      <c r="A13" s="26"/>
      <c r="B13" s="31"/>
      <c r="C13" s="793" t="s">
        <v>7</v>
      </c>
      <c r="D13" s="793"/>
      <c r="E13" s="793"/>
      <c r="F13" s="850">
        <v>10</v>
      </c>
      <c r="G13" s="850"/>
      <c r="H13" s="793" t="s">
        <v>8</v>
      </c>
      <c r="I13" s="26"/>
      <c r="J13" s="26"/>
      <c r="K13" s="46"/>
      <c r="L13" s="26"/>
      <c r="M13" s="41"/>
      <c r="N13" s="41"/>
      <c r="O13" s="41"/>
      <c r="P13" s="41"/>
      <c r="Q13" s="41"/>
      <c r="R13" s="41"/>
      <c r="S13" s="26"/>
      <c r="T13" s="22"/>
      <c r="U13" s="22"/>
      <c r="V13" s="22"/>
      <c r="W13" s="22"/>
      <c r="X13" s="22"/>
      <c r="Y13" s="22"/>
      <c r="Z13" s="22"/>
    </row>
    <row r="14" spans="1:26" ht="15" customHeight="1">
      <c r="A14" s="669"/>
      <c r="B14" s="8"/>
      <c r="C14" s="793"/>
      <c r="D14" s="793"/>
      <c r="E14" s="793"/>
      <c r="F14" s="850"/>
      <c r="G14" s="850"/>
      <c r="H14" s="793"/>
      <c r="I14" s="15"/>
      <c r="J14" s="26"/>
      <c r="K14" s="46"/>
      <c r="L14" s="26"/>
      <c r="M14" s="851" t="str">
        <f>IF(O14="","","Heat loss")</f>
        <v>Heat loss</v>
      </c>
      <c r="N14" s="851"/>
      <c r="O14" s="845">
        <f>IF(F25=0,"",N45)</f>
        <v>57006.511751768456</v>
      </c>
      <c r="P14" s="845"/>
      <c r="Q14" s="839" t="str">
        <f>IF(O14="","","kWh/a")</f>
        <v>kWh/a</v>
      </c>
      <c r="R14" s="839"/>
      <c r="S14" s="669"/>
    </row>
    <row r="15" spans="1:26" ht="15" customHeight="1">
      <c r="A15" s="669"/>
      <c r="B15" s="8"/>
      <c r="C15" s="669"/>
      <c r="D15" s="669"/>
      <c r="E15" s="669"/>
      <c r="F15" s="33"/>
      <c r="G15" s="33"/>
      <c r="H15" s="669"/>
      <c r="I15" s="15"/>
      <c r="J15" s="15"/>
      <c r="K15" s="40"/>
      <c r="L15" s="15"/>
      <c r="M15" s="851"/>
      <c r="N15" s="851"/>
      <c r="O15" s="845"/>
      <c r="P15" s="845"/>
      <c r="Q15" s="839"/>
      <c r="R15" s="839"/>
      <c r="S15" s="669"/>
    </row>
    <row r="16" spans="1:26" ht="15" customHeight="1">
      <c r="A16" s="669"/>
      <c r="B16" s="8"/>
      <c r="C16" s="669"/>
      <c r="D16" s="669"/>
      <c r="E16" s="669"/>
      <c r="F16" s="33"/>
      <c r="G16" s="33"/>
      <c r="H16" s="669"/>
      <c r="I16" s="27"/>
      <c r="J16" s="27"/>
      <c r="K16" s="40"/>
      <c r="L16" s="27"/>
      <c r="M16" s="851"/>
      <c r="N16" s="851"/>
      <c r="O16" s="840">
        <f>IF(F25=0,"",O45)</f>
        <v>2052.2344230636641</v>
      </c>
      <c r="P16" s="840"/>
      <c r="Q16" s="841" t="str">
        <f>IF(O16="","","€/a")</f>
        <v>€/a</v>
      </c>
      <c r="R16" s="841"/>
      <c r="S16" s="669"/>
    </row>
    <row r="17" spans="1:26" s="23" customFormat="1" ht="15" customHeight="1">
      <c r="A17" s="26"/>
      <c r="B17" s="31"/>
      <c r="C17" s="793" t="s">
        <v>99</v>
      </c>
      <c r="D17" s="793"/>
      <c r="E17" s="793"/>
      <c r="F17" s="838" t="s">
        <v>329</v>
      </c>
      <c r="G17" s="838"/>
      <c r="H17" s="47">
        <f>IF(F17="","",VLOOKUP(F17,'Default values '!A2:B7,2,FALSE))</f>
        <v>0.9</v>
      </c>
      <c r="I17" s="27"/>
      <c r="J17" s="27"/>
      <c r="K17" s="46"/>
      <c r="L17" s="27"/>
      <c r="M17" s="851"/>
      <c r="N17" s="851"/>
      <c r="O17" s="840"/>
      <c r="P17" s="840"/>
      <c r="Q17" s="841"/>
      <c r="R17" s="841"/>
      <c r="S17" s="26"/>
      <c r="T17" s="22"/>
      <c r="U17" s="22"/>
      <c r="V17" s="22"/>
      <c r="W17" s="22"/>
      <c r="X17" s="22"/>
      <c r="Y17" s="22"/>
      <c r="Z17" s="22"/>
    </row>
    <row r="18" spans="1:26" ht="15" customHeight="1">
      <c r="A18" s="669"/>
      <c r="B18" s="8"/>
      <c r="C18" s="793"/>
      <c r="D18" s="793"/>
      <c r="E18" s="793"/>
      <c r="F18" s="838"/>
      <c r="G18" s="838"/>
      <c r="H18" s="15"/>
      <c r="I18" s="669"/>
      <c r="J18" s="669"/>
      <c r="K18" s="9"/>
      <c r="L18" s="669"/>
      <c r="M18" s="842" t="str">
        <f>IF(O14="","",IF(P48&lt;0,"","Saving potential"))</f>
        <v>Saving potential</v>
      </c>
      <c r="N18" s="842"/>
      <c r="O18" s="916">
        <f>IF(F25=0,"",IF(P48&lt;0,"",P48))</f>
        <v>11401.30235035369</v>
      </c>
      <c r="P18" s="916">
        <f>IF(F25=0,"",IF(P49&lt;0,"",P49))</f>
        <v>31353.581463472641</v>
      </c>
      <c r="Q18" s="898" t="str">
        <f>IF(O18="","",IF(P48&lt;0,"","kWh/a"))</f>
        <v>kWh/a</v>
      </c>
      <c r="R18" s="898"/>
      <c r="S18" s="669"/>
    </row>
    <row r="19" spans="1:26" ht="15" customHeight="1">
      <c r="A19" s="669"/>
      <c r="B19" s="8"/>
      <c r="C19" s="15"/>
      <c r="D19" s="15"/>
      <c r="E19" s="15"/>
      <c r="F19" s="33"/>
      <c r="G19" s="33"/>
      <c r="H19" s="15"/>
      <c r="I19" s="669"/>
      <c r="J19" s="669"/>
      <c r="K19" s="9"/>
      <c r="L19" s="669"/>
      <c r="M19" s="842"/>
      <c r="N19" s="842"/>
      <c r="O19" s="916"/>
      <c r="P19" s="916"/>
      <c r="Q19" s="898"/>
      <c r="R19" s="898"/>
      <c r="S19" s="669"/>
    </row>
    <row r="20" spans="1:26" ht="15" customHeight="1">
      <c r="A20" s="669"/>
      <c r="B20" s="8"/>
      <c r="C20" s="669"/>
      <c r="D20" s="669"/>
      <c r="E20" s="669"/>
      <c r="F20" s="33"/>
      <c r="G20" s="33"/>
      <c r="H20" s="669"/>
      <c r="I20" s="669"/>
      <c r="J20" s="669"/>
      <c r="K20" s="9"/>
      <c r="L20" s="669"/>
      <c r="M20" s="842"/>
      <c r="N20" s="842"/>
      <c r="O20" s="917">
        <f>IF(F25=0,"",IF(P48&lt;0,"",Q48))</f>
        <v>410.44688461273267</v>
      </c>
      <c r="P20" s="917">
        <f>IF(F25=0,"",IF(P48&lt;0,"",Q49))</f>
        <v>1128.7289326850148</v>
      </c>
      <c r="Q20" s="899" t="str">
        <f>IF(O20=0,"",IF(P48&lt;0,"","€/a"))</f>
        <v>€/a</v>
      </c>
      <c r="R20" s="899"/>
      <c r="S20" s="669"/>
    </row>
    <row r="21" spans="1:26" s="23" customFormat="1" ht="15" customHeight="1">
      <c r="A21" s="26"/>
      <c r="B21" s="31"/>
      <c r="C21" s="793" t="s">
        <v>36</v>
      </c>
      <c r="D21" s="793"/>
      <c r="E21" s="793"/>
      <c r="F21" s="850">
        <v>20</v>
      </c>
      <c r="G21" s="850"/>
      <c r="H21" s="793" t="s">
        <v>22</v>
      </c>
      <c r="I21" s="26"/>
      <c r="J21" s="26"/>
      <c r="K21" s="46"/>
      <c r="L21" s="26"/>
      <c r="M21" s="842"/>
      <c r="N21" s="842"/>
      <c r="O21" s="917"/>
      <c r="P21" s="917"/>
      <c r="Q21" s="899"/>
      <c r="R21" s="899"/>
      <c r="S21" s="26"/>
      <c r="T21" s="22"/>
      <c r="U21" s="22"/>
      <c r="V21" s="22"/>
      <c r="W21" s="22"/>
      <c r="X21" s="22"/>
      <c r="Y21" s="22"/>
      <c r="Z21" s="22"/>
    </row>
    <row r="22" spans="1:26" ht="15" customHeight="1">
      <c r="A22" s="669"/>
      <c r="B22" s="8"/>
      <c r="C22" s="793"/>
      <c r="D22" s="793"/>
      <c r="E22" s="793"/>
      <c r="F22" s="850"/>
      <c r="G22" s="850"/>
      <c r="H22" s="793"/>
      <c r="I22" s="669"/>
      <c r="J22" s="669"/>
      <c r="K22" s="9"/>
      <c r="L22" s="669"/>
      <c r="M22" s="41"/>
      <c r="N22" s="41"/>
      <c r="O22" s="41"/>
      <c r="P22" s="41"/>
      <c r="Q22" s="41"/>
      <c r="R22" s="41"/>
      <c r="S22" s="669"/>
    </row>
    <row r="23" spans="1:26" ht="15" customHeight="1">
      <c r="A23" s="669"/>
      <c r="B23" s="8"/>
      <c r="C23" s="669"/>
      <c r="D23" s="669"/>
      <c r="E23" s="669"/>
      <c r="F23" s="669"/>
      <c r="G23" s="669"/>
      <c r="H23" s="18"/>
      <c r="I23" s="19"/>
      <c r="J23" s="19"/>
      <c r="K23" s="40"/>
      <c r="L23" s="669"/>
      <c r="M23" s="45"/>
      <c r="N23" s="43"/>
      <c r="O23" s="43"/>
      <c r="P23" s="43"/>
      <c r="Q23" s="43"/>
      <c r="R23" s="43"/>
      <c r="S23" s="669"/>
    </row>
    <row r="24" spans="1:26" ht="15" customHeight="1">
      <c r="A24" s="669"/>
      <c r="B24" s="8"/>
      <c r="C24" s="669"/>
      <c r="D24" s="669"/>
      <c r="E24" s="669"/>
      <c r="F24" s="669"/>
      <c r="G24" s="669"/>
      <c r="H24" s="19"/>
      <c r="I24" s="19"/>
      <c r="J24" s="19"/>
      <c r="K24" s="40"/>
      <c r="L24" s="669"/>
      <c r="M24" s="49"/>
      <c r="N24" s="44"/>
      <c r="O24" s="44"/>
      <c r="P24" s="44"/>
      <c r="Q24" s="43"/>
      <c r="R24" s="43"/>
      <c r="S24" s="669"/>
    </row>
    <row r="25" spans="1:26" ht="15" customHeight="1">
      <c r="A25" s="26"/>
      <c r="B25" s="8"/>
      <c r="C25" s="793" t="s">
        <v>38</v>
      </c>
      <c r="D25" s="793"/>
      <c r="E25" s="793"/>
      <c r="F25" s="850">
        <v>70</v>
      </c>
      <c r="G25" s="850"/>
      <c r="H25" s="793" t="s">
        <v>22</v>
      </c>
      <c r="I25" s="19"/>
      <c r="J25" s="19"/>
      <c r="K25" s="40"/>
      <c r="L25" s="669"/>
      <c r="M25" s="946" t="str">
        <f>IF(F25="","",K54)</f>
        <v>"Savings can be achieved by increasing insulation performance or thickness"</v>
      </c>
      <c r="N25" s="946"/>
      <c r="O25" s="946"/>
      <c r="P25" s="946"/>
      <c r="Q25" s="43"/>
      <c r="R25" s="43"/>
      <c r="S25" s="669"/>
    </row>
    <row r="26" spans="1:26" ht="15" customHeight="1">
      <c r="A26" s="669"/>
      <c r="B26" s="8"/>
      <c r="C26" s="793"/>
      <c r="D26" s="793"/>
      <c r="E26" s="793"/>
      <c r="F26" s="850"/>
      <c r="G26" s="850"/>
      <c r="H26" s="793"/>
      <c r="I26" s="19"/>
      <c r="J26" s="19"/>
      <c r="K26" s="40"/>
      <c r="L26" s="669"/>
      <c r="M26" s="946"/>
      <c r="N26" s="946"/>
      <c r="O26" s="946"/>
      <c r="P26" s="946"/>
      <c r="Q26" s="43"/>
      <c r="R26" s="669"/>
      <c r="S26" s="669"/>
    </row>
    <row r="27" spans="1:26" ht="15" customHeight="1" thickBot="1">
      <c r="A27" s="669"/>
      <c r="B27" s="10"/>
      <c r="C27" s="11"/>
      <c r="D27" s="11"/>
      <c r="E27" s="11"/>
      <c r="F27" s="11"/>
      <c r="G27" s="11"/>
      <c r="H27" s="11"/>
      <c r="I27" s="11"/>
      <c r="J27" s="11"/>
      <c r="K27" s="12"/>
      <c r="L27" s="669"/>
      <c r="M27" s="946"/>
      <c r="N27" s="946"/>
      <c r="O27" s="946"/>
      <c r="P27" s="946"/>
      <c r="Q27" s="43"/>
      <c r="R27" s="669"/>
      <c r="S27" s="669"/>
    </row>
    <row r="28" spans="1:26" ht="15" customHeight="1" thickTop="1" thickBot="1">
      <c r="A28" s="669"/>
      <c r="B28" s="669"/>
      <c r="C28" s="669"/>
      <c r="D28" s="669"/>
      <c r="E28" s="669"/>
      <c r="F28" s="669"/>
      <c r="G28" s="669"/>
      <c r="H28" s="669"/>
      <c r="I28" s="669"/>
      <c r="J28" s="669"/>
      <c r="K28" s="669"/>
      <c r="L28" s="669"/>
      <c r="M28" s="669"/>
      <c r="N28" s="669"/>
      <c r="O28" s="669"/>
      <c r="P28" s="669"/>
      <c r="Q28" s="669"/>
      <c r="R28" s="669"/>
      <c r="S28" s="669"/>
    </row>
    <row r="29" spans="1:26" ht="15" customHeight="1" thickTop="1">
      <c r="A29" s="669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69"/>
    </row>
    <row r="30" spans="1:26">
      <c r="A30" s="669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</row>
    <row r="31" spans="1:26">
      <c r="A31" s="669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</row>
    <row r="32" spans="1:26">
      <c r="A32" s="669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</row>
    <row r="33" spans="1:21">
      <c r="A33" s="669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</row>
    <row r="34" spans="1:21">
      <c r="A34" s="669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</row>
    <row r="35" spans="1:21">
      <c r="A35" s="669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</row>
    <row r="36" spans="1:21">
      <c r="A36" s="669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</row>
    <row r="37" spans="1:21">
      <c r="A37" s="669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</row>
    <row r="38" spans="1:21">
      <c r="A38" s="669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</row>
    <row r="39" spans="1:21">
      <c r="A39" s="669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</row>
    <row r="40" spans="1:21">
      <c r="A40" s="669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</row>
    <row r="41" spans="1:21">
      <c r="A41" s="669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</row>
    <row r="42" spans="1:21">
      <c r="A42" s="669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</row>
    <row r="43" spans="1:21" ht="68.45" customHeight="1">
      <c r="A43" s="65"/>
      <c r="B43" s="65"/>
      <c r="C43" s="73"/>
      <c r="D43" s="72"/>
      <c r="E43" s="72"/>
      <c r="F43" s="35"/>
      <c r="G43" s="16"/>
      <c r="H43" s="16"/>
      <c r="I43" s="16"/>
      <c r="J43" s="668"/>
      <c r="K43" s="668"/>
      <c r="L43" s="668"/>
      <c r="M43" s="75"/>
      <c r="N43" s="76" t="s">
        <v>31</v>
      </c>
      <c r="O43" s="76" t="s">
        <v>83</v>
      </c>
      <c r="P43" s="960" t="s">
        <v>101</v>
      </c>
      <c r="Q43" s="960"/>
      <c r="R43" s="16"/>
      <c r="S43" s="16"/>
      <c r="T43" s="199" t="s">
        <v>299</v>
      </c>
    </row>
    <row r="44" spans="1:21" ht="45">
      <c r="A44" s="948" t="s">
        <v>5</v>
      </c>
      <c r="B44" s="948"/>
      <c r="C44" s="188" t="s">
        <v>35</v>
      </c>
      <c r="D44" s="188" t="s">
        <v>40</v>
      </c>
      <c r="E44" s="188" t="s">
        <v>29</v>
      </c>
      <c r="F44" s="188" t="s">
        <v>30</v>
      </c>
      <c r="G44" s="189" t="s">
        <v>78</v>
      </c>
      <c r="H44" s="188" t="s">
        <v>59</v>
      </c>
      <c r="I44" s="188" t="s">
        <v>58</v>
      </c>
      <c r="J44" s="190" t="s">
        <v>13</v>
      </c>
      <c r="K44" s="190" t="s">
        <v>28</v>
      </c>
      <c r="L44" s="190" t="s">
        <v>26</v>
      </c>
      <c r="M44" s="147" t="s">
        <v>27</v>
      </c>
      <c r="N44" s="80" t="s">
        <v>84</v>
      </c>
      <c r="O44" s="80" t="s">
        <v>85</v>
      </c>
      <c r="P44" s="80"/>
      <c r="Q44" s="80"/>
      <c r="R44" s="16"/>
      <c r="S44" s="16"/>
      <c r="T44" s="200" t="s">
        <v>150</v>
      </c>
      <c r="U44" s="200"/>
    </row>
    <row r="45" spans="1:21">
      <c r="A45" s="804" t="str">
        <f>G5</f>
        <v>Burner L6</v>
      </c>
      <c r="B45" s="804"/>
      <c r="C45" s="255">
        <f>F13</f>
        <v>10</v>
      </c>
      <c r="D45" s="255">
        <f>N8</f>
        <v>200</v>
      </c>
      <c r="E45" s="256">
        <f>F25</f>
        <v>70</v>
      </c>
      <c r="F45" s="256">
        <f>F21</f>
        <v>20</v>
      </c>
      <c r="G45" s="544">
        <f>H17</f>
        <v>0.9</v>
      </c>
      <c r="H45" s="256">
        <f>P5</f>
        <v>8760</v>
      </c>
      <c r="I45" s="257">
        <f>TBi!$L$27</f>
        <v>3.5999999999999997E-2</v>
      </c>
      <c r="J45" s="192">
        <f>IF(E45=0,"",G45*D63*(((E45+273)^4-(F45+273)^4)/(E45-F45)))</f>
        <v>6.6049713597165836</v>
      </c>
      <c r="K45" s="193">
        <f>IF(E45=0,"",1.74*ABS(E45-F45)^0.3333333)</f>
        <v>6.4102139717374005</v>
      </c>
      <c r="L45" s="192">
        <f>IF(E45=0,"",J45+K45)</f>
        <v>13.015185331453985</v>
      </c>
      <c r="M45" s="194">
        <f>IF(E45=0,"",L45*ABS(E45-F45))</f>
        <v>650.75926657269929</v>
      </c>
      <c r="N45" s="79">
        <f>IF(E45=0,"",M45*H45*C45/1000)</f>
        <v>57006.511751768456</v>
      </c>
      <c r="O45" s="79">
        <f>IF(E45=0,"",N45*I45)</f>
        <v>2052.2344230636641</v>
      </c>
      <c r="P45" s="61"/>
      <c r="Q45" s="61"/>
      <c r="R45" s="16"/>
      <c r="S45" s="16"/>
      <c r="T45" s="201">
        <f>(D45-E45)*$T$49/M45</f>
        <v>1.9976665209035037E-2</v>
      </c>
      <c r="U45" s="201"/>
    </row>
    <row r="46" spans="1:21">
      <c r="A46" s="672" t="s">
        <v>100</v>
      </c>
      <c r="B46" s="672" t="s">
        <v>288</v>
      </c>
      <c r="C46" s="255">
        <f>C45</f>
        <v>10</v>
      </c>
      <c r="D46" s="255">
        <f>D45</f>
        <v>200</v>
      </c>
      <c r="E46" s="417">
        <f>D74</f>
        <v>55</v>
      </c>
      <c r="F46" s="417">
        <f>D75</f>
        <v>35</v>
      </c>
      <c r="G46" s="544">
        <v>0.8</v>
      </c>
      <c r="H46" s="256">
        <f>H45</f>
        <v>8760</v>
      </c>
      <c r="I46" s="257">
        <f>I45</f>
        <v>3.5999999999999997E-2</v>
      </c>
      <c r="J46" s="192">
        <f>IF(E46=0,"",G46*D63*(((E46+273)^4-(F46+273)^4)/(E46-F46)))</f>
        <v>5.8407922844206084</v>
      </c>
      <c r="K46" s="193">
        <f>IF(E46=0,"",1.74*ABS(E46-F46)^0.3333333)</f>
        <v>4.72308618123839</v>
      </c>
      <c r="L46" s="192">
        <f>IF(E46=0,"",J46+K46)</f>
        <v>10.563878465658998</v>
      </c>
      <c r="M46" s="421">
        <f>M45*0.8</f>
        <v>520.60741325815945</v>
      </c>
      <c r="N46" s="195">
        <f>IF(E46=0,"",M46*H46*C46/1000)</f>
        <v>45605.209401414766</v>
      </c>
      <c r="O46" s="195">
        <f>IF(E46=0,"",N46*I46)</f>
        <v>1641.7875384509314</v>
      </c>
      <c r="P46" s="79"/>
      <c r="Q46" s="79"/>
      <c r="R46" s="16"/>
      <c r="S46" s="16"/>
      <c r="T46" s="201">
        <f>(D46-E46)*$T$49/M46</f>
        <v>2.7852081301058467E-2</v>
      </c>
      <c r="U46" s="201"/>
    </row>
    <row r="47" spans="1:21" s="16" customFormat="1" ht="18.75">
      <c r="A47" s="672" t="s">
        <v>100</v>
      </c>
      <c r="B47" s="672" t="s">
        <v>289</v>
      </c>
      <c r="C47" s="255">
        <f>C46</f>
        <v>10</v>
      </c>
      <c r="D47" s="255">
        <f>D46</f>
        <v>200</v>
      </c>
      <c r="E47" s="256">
        <f>D75</f>
        <v>35</v>
      </c>
      <c r="F47" s="256">
        <f>D76</f>
        <v>0.8</v>
      </c>
      <c r="G47" s="256">
        <f>D77</f>
        <v>90</v>
      </c>
      <c r="H47" s="256">
        <f>H46</f>
        <v>8760</v>
      </c>
      <c r="I47" s="257">
        <f>I46</f>
        <v>3.5999999999999997E-2</v>
      </c>
      <c r="J47" s="192"/>
      <c r="K47" s="193"/>
      <c r="L47" s="192"/>
      <c r="M47" s="421">
        <f>M45*0.45</f>
        <v>292.84166995771471</v>
      </c>
      <c r="N47" s="195">
        <f>IF(E45=0,"",M47*H47*C47/1000)</f>
        <v>25652.930288295815</v>
      </c>
      <c r="O47" s="195">
        <f>IF(E47=0,"",N47*I47)</f>
        <v>923.50549037864926</v>
      </c>
      <c r="P47" s="186" t="s">
        <v>61</v>
      </c>
      <c r="Q47" s="187" t="s">
        <v>23</v>
      </c>
      <c r="R47" s="670"/>
      <c r="S47" s="670"/>
      <c r="T47" s="201">
        <f>(D47-E47)*$T$49/M47</f>
        <v>5.634444033317574E-2</v>
      </c>
      <c r="U47" s="202"/>
    </row>
    <row r="48" spans="1:21" s="16" customFormat="1">
      <c r="A48" s="56"/>
      <c r="B48" s="56"/>
      <c r="C48" s="56"/>
      <c r="D48" s="56"/>
      <c r="E48" s="182"/>
      <c r="F48" s="182"/>
      <c r="G48" s="57"/>
      <c r="H48" s="57"/>
      <c r="I48" s="57"/>
      <c r="J48" s="58"/>
      <c r="K48" s="59"/>
      <c r="L48" s="58"/>
      <c r="M48" s="60"/>
      <c r="N48" s="129"/>
      <c r="O48" s="129"/>
      <c r="P48" s="184">
        <f>N45-N46</f>
        <v>11401.30235035369</v>
      </c>
      <c r="Q48" s="79">
        <f>O45-O46</f>
        <v>410.44688461273267</v>
      </c>
      <c r="R48" s="670"/>
      <c r="S48" s="670"/>
      <c r="T48" s="201"/>
      <c r="U48" s="200"/>
    </row>
    <row r="49" spans="1:21" s="16" customFormat="1">
      <c r="A49" s="56"/>
      <c r="B49" s="56"/>
      <c r="C49" s="56"/>
      <c r="D49" s="56"/>
      <c r="E49" s="182"/>
      <c r="F49" s="182"/>
      <c r="G49" s="57"/>
      <c r="H49" s="57"/>
      <c r="I49" s="57"/>
      <c r="J49" s="58"/>
      <c r="K49" s="59"/>
      <c r="L49" s="58"/>
      <c r="M49" s="60"/>
      <c r="N49" s="129"/>
      <c r="O49" s="129"/>
      <c r="P49" s="184">
        <f>N45-N47</f>
        <v>31353.581463472641</v>
      </c>
      <c r="Q49" s="79">
        <f>O45-O47</f>
        <v>1128.7289326850148</v>
      </c>
      <c r="R49" s="670"/>
      <c r="S49" s="670"/>
      <c r="T49" s="301">
        <v>0.1</v>
      </c>
      <c r="U49" s="200"/>
    </row>
    <row r="50" spans="1:21" s="16" customFormat="1">
      <c r="A50" s="56"/>
      <c r="B50" s="56"/>
      <c r="C50" s="56"/>
      <c r="D50" s="56"/>
      <c r="E50" s="182"/>
      <c r="F50" s="182"/>
      <c r="G50" s="57"/>
      <c r="H50" s="57"/>
      <c r="I50" s="57"/>
      <c r="J50" s="58"/>
      <c r="K50" s="59"/>
      <c r="L50" s="58"/>
      <c r="M50" s="60"/>
      <c r="N50" s="129"/>
      <c r="O50" s="129"/>
      <c r="P50" s="123"/>
      <c r="Q50" s="123"/>
      <c r="R50" s="670"/>
      <c r="S50" s="670"/>
      <c r="T50" s="200" t="s">
        <v>55</v>
      </c>
      <c r="U50" s="200"/>
    </row>
    <row r="51" spans="1:21" s="16" customFormat="1">
      <c r="A51" s="56"/>
      <c r="B51" s="56"/>
      <c r="C51" s="56"/>
      <c r="D51" s="56"/>
      <c r="E51" s="182"/>
      <c r="F51" s="182"/>
      <c r="G51" s="419"/>
      <c r="H51" s="57"/>
      <c r="I51" s="57"/>
      <c r="J51" s="58"/>
      <c r="K51" s="59"/>
      <c r="L51" s="58"/>
      <c r="M51" s="60"/>
      <c r="N51" s="129"/>
      <c r="O51" s="129"/>
      <c r="P51" s="123"/>
      <c r="Q51" s="123"/>
      <c r="R51" s="670"/>
      <c r="S51" s="670"/>
      <c r="T51" s="200"/>
      <c r="U51" s="200"/>
    </row>
    <row r="52" spans="1:21" s="16" customFormat="1">
      <c r="A52" s="56"/>
      <c r="B52" s="56"/>
      <c r="C52" s="56"/>
      <c r="D52" s="56"/>
      <c r="E52" s="182"/>
      <c r="F52" s="182"/>
      <c r="G52" s="57"/>
      <c r="H52" s="57"/>
      <c r="I52" s="57"/>
      <c r="J52" s="58"/>
      <c r="K52" s="59"/>
      <c r="L52" s="58"/>
      <c r="M52" s="60"/>
      <c r="N52" s="129"/>
      <c r="O52" s="129"/>
      <c r="P52" s="123"/>
      <c r="Q52" s="123"/>
      <c r="R52" s="670"/>
      <c r="S52" s="670"/>
      <c r="T52" s="200"/>
      <c r="U52" s="200"/>
    </row>
    <row r="53" spans="1:21" s="16" customFormat="1" ht="15.75" thickBot="1">
      <c r="A53" s="56"/>
      <c r="B53" s="56"/>
      <c r="C53" s="56"/>
      <c r="D53" s="56"/>
      <c r="E53" s="182"/>
      <c r="F53" s="182"/>
      <c r="G53" s="57"/>
      <c r="H53" s="57"/>
      <c r="I53" s="57"/>
      <c r="J53" s="58"/>
      <c r="K53" s="59"/>
      <c r="L53" s="58"/>
      <c r="M53" s="60"/>
      <c r="N53" s="129"/>
      <c r="O53" s="129"/>
      <c r="P53" s="123"/>
      <c r="Q53" s="123"/>
      <c r="R53" s="670"/>
      <c r="S53" s="670"/>
      <c r="T53" s="200"/>
      <c r="U53" s="200"/>
    </row>
    <row r="54" spans="1:21" s="16" customFormat="1">
      <c r="A54" s="56"/>
      <c r="B54" s="56"/>
      <c r="C54" s="56"/>
      <c r="D54" s="56"/>
      <c r="E54" s="182"/>
      <c r="F54" s="182"/>
      <c r="G54" s="57"/>
      <c r="H54" s="57"/>
      <c r="I54" s="57"/>
      <c r="J54" s="58"/>
      <c r="K54" s="949" t="s">
        <v>370</v>
      </c>
      <c r="L54" s="950"/>
      <c r="M54" s="950"/>
      <c r="N54" s="950"/>
      <c r="O54" s="950"/>
      <c r="P54" s="951"/>
      <c r="Q54" s="123"/>
      <c r="R54" s="670"/>
      <c r="S54" s="670"/>
      <c r="T54" s="200"/>
      <c r="U54" s="200"/>
    </row>
    <row r="55" spans="1:21" s="16" customFormat="1">
      <c r="A55" s="56"/>
      <c r="B55" s="56"/>
      <c r="C55" s="56"/>
      <c r="D55" s="56"/>
      <c r="E55" s="182"/>
      <c r="F55" s="182"/>
      <c r="G55" s="57"/>
      <c r="H55" s="57"/>
      <c r="I55" s="57"/>
      <c r="J55" s="58"/>
      <c r="K55" s="952"/>
      <c r="L55" s="953"/>
      <c r="M55" s="953"/>
      <c r="N55" s="953"/>
      <c r="O55" s="953"/>
      <c r="P55" s="954"/>
      <c r="Q55" s="123"/>
      <c r="R55" s="670"/>
      <c r="S55" s="670"/>
      <c r="T55" s="200"/>
      <c r="U55" s="200"/>
    </row>
    <row r="56" spans="1:21" s="16" customFormat="1" ht="15.75" thickBot="1">
      <c r="A56" s="56"/>
      <c r="B56" s="56"/>
      <c r="C56" s="56"/>
      <c r="D56" s="56"/>
      <c r="E56" s="182"/>
      <c r="F56" s="182"/>
      <c r="G56" s="57"/>
      <c r="H56" s="57"/>
      <c r="I56" s="57"/>
      <c r="J56" s="58"/>
      <c r="K56" s="955"/>
      <c r="L56" s="956"/>
      <c r="M56" s="956"/>
      <c r="N56" s="956"/>
      <c r="O56" s="956"/>
      <c r="P56" s="957"/>
      <c r="Q56" s="123"/>
      <c r="R56" s="670"/>
      <c r="S56" s="670"/>
      <c r="T56" s="200"/>
      <c r="U56" s="200"/>
    </row>
    <row r="57" spans="1:21" s="16" customFormat="1">
      <c r="A57" s="56"/>
      <c r="B57" s="56"/>
      <c r="C57" s="57"/>
      <c r="D57" s="57"/>
      <c r="E57" s="183"/>
      <c r="F57" s="59"/>
      <c r="G57" s="57"/>
      <c r="H57" s="57"/>
      <c r="I57" s="57"/>
      <c r="J57" s="58"/>
      <c r="K57" s="59"/>
      <c r="L57" s="58"/>
      <c r="M57" s="60"/>
      <c r="N57" s="123"/>
      <c r="O57" s="123"/>
      <c r="P57" s="129"/>
      <c r="Q57" s="129"/>
      <c r="R57" s="670"/>
      <c r="S57" s="670"/>
      <c r="T57" s="200"/>
    </row>
    <row r="58" spans="1:21" s="16" customFormat="1" ht="15.75" thickBot="1">
      <c r="A58" s="56"/>
      <c r="B58" s="56"/>
      <c r="C58" s="56"/>
      <c r="D58" s="57"/>
      <c r="E58" s="58"/>
      <c r="F58" s="58"/>
      <c r="G58" s="57"/>
      <c r="H58" s="57"/>
      <c r="I58" s="57"/>
      <c r="J58" s="58"/>
      <c r="K58" s="59"/>
      <c r="L58" s="58"/>
      <c r="M58" s="60"/>
      <c r="N58" s="123"/>
      <c r="O58" s="123"/>
      <c r="P58" s="129"/>
      <c r="Q58" s="129"/>
      <c r="R58" s="670"/>
      <c r="S58" s="670"/>
      <c r="T58" s="200"/>
    </row>
    <row r="59" spans="1:21" s="16" customFormat="1" ht="15.75" thickBot="1">
      <c r="A59" s="56"/>
      <c r="B59" s="56"/>
      <c r="C59" s="56"/>
      <c r="D59" s="141"/>
      <c r="E59" s="151"/>
      <c r="F59" s="17"/>
      <c r="G59" s="57"/>
      <c r="H59" s="57"/>
      <c r="I59" s="57"/>
      <c r="J59" s="58"/>
      <c r="K59" s="59"/>
      <c r="L59" s="58"/>
      <c r="M59" s="60"/>
      <c r="N59" s="123"/>
      <c r="O59" s="123"/>
      <c r="P59" s="129"/>
      <c r="Q59" s="129"/>
      <c r="R59" s="670"/>
      <c r="S59" s="670"/>
      <c r="T59" s="670"/>
    </row>
    <row r="60" spans="1:21" s="16" customFormat="1">
      <c r="A60" s="56"/>
      <c r="B60" s="56"/>
      <c r="C60" s="56"/>
      <c r="D60" s="57"/>
      <c r="E60" s="58"/>
      <c r="F60" s="57"/>
      <c r="G60" s="57"/>
      <c r="H60" s="57"/>
      <c r="I60" s="57"/>
      <c r="J60" s="58"/>
      <c r="K60" s="59"/>
      <c r="L60" s="58"/>
      <c r="M60" s="60"/>
      <c r="N60" s="123"/>
      <c r="O60" s="123"/>
      <c r="P60" s="129"/>
      <c r="Q60" s="129"/>
      <c r="R60" s="670"/>
      <c r="S60" s="670"/>
      <c r="T60" s="670"/>
    </row>
    <row r="61" spans="1:21" s="16" customFormat="1" ht="15.75" thickBot="1">
      <c r="A61" s="673" t="s">
        <v>109</v>
      </c>
      <c r="B61" s="673"/>
      <c r="C61" s="673"/>
      <c r="D61" s="673"/>
      <c r="E61" s="673"/>
      <c r="F61" s="673"/>
      <c r="G61" s="673"/>
      <c r="H61" s="673"/>
      <c r="I61" s="673"/>
      <c r="J61" s="673"/>
      <c r="K61" s="673"/>
      <c r="L61" s="673"/>
      <c r="M61" s="673"/>
      <c r="N61" s="673"/>
      <c r="O61" s="673"/>
      <c r="P61" s="673"/>
      <c r="Q61" s="673"/>
      <c r="R61" s="673"/>
      <c r="S61" s="673"/>
      <c r="T61" s="670"/>
      <c r="U61" s="16" t="s">
        <v>82</v>
      </c>
    </row>
    <row r="62" spans="1:21" s="2" customFormat="1" ht="15.75" thickBot="1">
      <c r="A62" s="905" t="s">
        <v>162</v>
      </c>
      <c r="B62" s="906"/>
      <c r="C62" s="906"/>
      <c r="D62" s="232">
        <v>3.1415999999999999</v>
      </c>
      <c r="E62" s="57"/>
      <c r="F62" s="57"/>
      <c r="G62" s="57"/>
      <c r="H62" s="57"/>
      <c r="I62" s="57"/>
      <c r="J62" s="58"/>
      <c r="K62" s="59"/>
      <c r="L62" s="58"/>
      <c r="M62" s="60"/>
      <c r="N62" s="327"/>
      <c r="O62" s="327"/>
      <c r="P62" s="280"/>
      <c r="Q62" s="280"/>
      <c r="R62" s="328"/>
      <c r="S62" s="328"/>
      <c r="T62" s="670"/>
    </row>
    <row r="63" spans="1:21" s="2" customFormat="1" ht="15.75" thickBot="1">
      <c r="A63" s="907" t="s">
        <v>80</v>
      </c>
      <c r="B63" s="906"/>
      <c r="C63" s="906"/>
      <c r="D63" s="304">
        <v>5.6703669999999997E-8</v>
      </c>
      <c r="E63" s="57"/>
      <c r="F63" s="57"/>
      <c r="G63" s="57"/>
      <c r="H63" s="57"/>
      <c r="I63" s="57"/>
      <c r="J63" s="58"/>
      <c r="K63" s="59"/>
      <c r="L63" s="58"/>
      <c r="M63" s="60"/>
      <c r="N63" s="327"/>
      <c r="O63" s="327"/>
      <c r="P63" s="280"/>
      <c r="Q63" s="280"/>
      <c r="R63" s="328"/>
      <c r="S63" s="328"/>
      <c r="T63" s="673"/>
    </row>
    <row r="64" spans="1:21" s="2" customFormat="1">
      <c r="A64" s="674"/>
      <c r="B64" s="89"/>
      <c r="C64" s="157"/>
      <c r="D64" s="57"/>
      <c r="E64" s="57"/>
      <c r="F64" s="56"/>
      <c r="G64" s="130"/>
      <c r="H64" s="57"/>
      <c r="I64" s="58"/>
      <c r="J64" s="59"/>
      <c r="K64" s="58"/>
      <c r="L64" s="60"/>
      <c r="M64" s="327"/>
      <c r="N64" s="327"/>
      <c r="O64" s="280"/>
      <c r="P64" s="280"/>
      <c r="Q64" s="328"/>
      <c r="R64" s="328"/>
      <c r="S64" s="328"/>
      <c r="T64" s="328"/>
    </row>
    <row r="65" spans="1:22" s="2" customFormat="1">
      <c r="A65" s="674"/>
      <c r="B65" s="89"/>
      <c r="C65" s="157"/>
      <c r="D65" s="57"/>
      <c r="E65" s="178"/>
      <c r="F65" s="179"/>
      <c r="G65" s="180"/>
      <c r="H65" s="57"/>
      <c r="I65" s="58"/>
      <c r="J65" s="59"/>
      <c r="K65" s="58"/>
      <c r="L65" s="60"/>
      <c r="M65" s="327"/>
      <c r="N65" s="327"/>
      <c r="O65" s="280"/>
      <c r="P65" s="280"/>
      <c r="Q65" s="328"/>
      <c r="R65" s="328"/>
      <c r="S65" s="328"/>
      <c r="T65" s="328"/>
    </row>
    <row r="66" spans="1:22" s="2" customFormat="1">
      <c r="A66" s="674"/>
      <c r="B66" s="89"/>
      <c r="C66" s="168"/>
      <c r="D66" s="57"/>
      <c r="E66" s="178"/>
      <c r="F66" s="179"/>
      <c r="G66" s="180"/>
      <c r="H66" s="57"/>
      <c r="I66" s="58"/>
      <c r="J66" s="59"/>
      <c r="K66" s="58"/>
      <c r="L66" s="60"/>
      <c r="M66" s="327"/>
      <c r="N66" s="327"/>
      <c r="O66" s="280"/>
      <c r="P66" s="280"/>
      <c r="Q66" s="328"/>
      <c r="R66" s="328"/>
      <c r="S66" s="328"/>
    </row>
    <row r="67" spans="1:22" s="2" customFormat="1">
      <c r="A67" s="674"/>
      <c r="B67" s="89"/>
      <c r="C67" s="168"/>
      <c r="D67" s="57"/>
      <c r="E67" s="57"/>
      <c r="F67" s="57"/>
      <c r="G67" s="180"/>
      <c r="H67" s="57"/>
      <c r="I67" s="58"/>
      <c r="J67" s="59"/>
      <c r="K67" s="58"/>
      <c r="L67" s="60"/>
      <c r="M67" s="327"/>
      <c r="N67" s="327"/>
      <c r="O67" s="280"/>
      <c r="P67" s="280"/>
      <c r="Q67" s="328"/>
      <c r="R67" s="328"/>
      <c r="S67" s="328"/>
    </row>
    <row r="68" spans="1:22" customFormat="1">
      <c r="A68" s="56"/>
      <c r="B68" s="89"/>
      <c r="C68" s="168"/>
      <c r="D68" s="57"/>
      <c r="E68" s="57"/>
      <c r="F68" s="58"/>
      <c r="G68" s="59"/>
      <c r="H68" s="58"/>
      <c r="I68" s="60"/>
      <c r="J68" s="2"/>
      <c r="K68" s="2"/>
      <c r="L68" s="280"/>
      <c r="M68" s="280"/>
      <c r="N68" s="2"/>
      <c r="O68" s="280"/>
      <c r="P68" s="306"/>
      <c r="Q68" s="328"/>
      <c r="R68" s="328"/>
      <c r="S68" s="328"/>
      <c r="T68" s="2"/>
    </row>
    <row r="69" spans="1:22" customFormat="1">
      <c r="A69" s="56"/>
      <c r="B69" s="89"/>
      <c r="C69" s="168"/>
      <c r="D69" s="57"/>
      <c r="E69" s="57"/>
      <c r="F69" s="58"/>
      <c r="G69" s="59"/>
      <c r="H69" s="58"/>
      <c r="I69" s="60"/>
      <c r="J69" s="2"/>
      <c r="K69" s="2"/>
      <c r="L69" s="280"/>
      <c r="M69" s="280"/>
      <c r="N69" s="16"/>
      <c r="O69" s="675"/>
      <c r="P69" s="675"/>
      <c r="Q69" s="675"/>
      <c r="R69" s="675"/>
      <c r="S69" s="675"/>
      <c r="T69" s="2"/>
      <c r="U69" s="16"/>
      <c r="V69" s="16"/>
    </row>
    <row r="70" spans="1:22" customFormat="1" ht="15.75" thickBot="1">
      <c r="A70" s="56"/>
      <c r="B70" s="16"/>
      <c r="C70" s="129"/>
      <c r="D70" s="38"/>
      <c r="E70" s="16"/>
      <c r="F70" s="16"/>
      <c r="G70" s="16"/>
      <c r="H70" s="58"/>
      <c r="I70" s="60"/>
      <c r="J70" s="2"/>
      <c r="K70" s="2"/>
      <c r="L70" s="280"/>
      <c r="M70" s="280"/>
      <c r="N70" s="16"/>
      <c r="O70" s="966"/>
      <c r="P70" s="966"/>
      <c r="Q70" s="966"/>
      <c r="R70" s="308"/>
      <c r="S70" s="308"/>
      <c r="T70" s="2"/>
      <c r="U70" s="16"/>
      <c r="V70" s="16"/>
    </row>
    <row r="71" spans="1:22" customFormat="1" ht="15.75" thickBot="1">
      <c r="A71" s="169"/>
      <c r="B71" s="170" t="s">
        <v>136</v>
      </c>
      <c r="C71" s="155"/>
      <c r="D71" s="297">
        <v>1.6</v>
      </c>
      <c r="E71" s="16"/>
      <c r="F71" s="16"/>
      <c r="G71" s="16"/>
      <c r="H71" s="58"/>
      <c r="I71" s="60"/>
      <c r="J71" s="2"/>
      <c r="K71" s="2"/>
      <c r="L71" s="280"/>
      <c r="M71" s="280"/>
      <c r="N71" s="16"/>
      <c r="O71" s="966"/>
      <c r="P71" s="966"/>
      <c r="Q71" s="966"/>
      <c r="R71" s="308"/>
      <c r="S71" s="308"/>
      <c r="T71" s="675"/>
      <c r="U71" s="16"/>
      <c r="V71" s="16"/>
    </row>
    <row r="72" spans="1:22" customFormat="1" ht="15.75" thickBot="1">
      <c r="A72" s="169"/>
      <c r="B72" s="170" t="s">
        <v>137</v>
      </c>
      <c r="C72" s="155"/>
      <c r="D72" s="297">
        <v>2</v>
      </c>
      <c r="E72" s="16"/>
      <c r="F72" s="16"/>
      <c r="G72" s="16"/>
      <c r="H72" s="58"/>
      <c r="I72" s="60"/>
      <c r="J72" s="2"/>
      <c r="K72" s="2"/>
      <c r="L72" s="280"/>
      <c r="M72" s="280"/>
      <c r="N72" s="16"/>
      <c r="O72" s="966"/>
      <c r="P72" s="966"/>
      <c r="Q72" s="966"/>
      <c r="R72" s="309"/>
      <c r="S72" s="308"/>
      <c r="T72" s="16"/>
      <c r="U72" s="16"/>
      <c r="V72" s="16"/>
    </row>
    <row r="73" spans="1:22" customFormat="1" ht="15.75" thickBot="1">
      <c r="A73" s="967" t="s">
        <v>86</v>
      </c>
      <c r="B73" s="968"/>
      <c r="C73" s="969"/>
      <c r="D73" s="298">
        <v>55</v>
      </c>
      <c r="E73" s="171" t="s">
        <v>22</v>
      </c>
      <c r="F73" s="58"/>
      <c r="G73" s="59"/>
      <c r="H73" s="58"/>
      <c r="I73" s="60"/>
      <c r="J73" s="2"/>
      <c r="K73" s="2"/>
      <c r="L73" s="280"/>
      <c r="M73" s="280"/>
      <c r="N73" s="16"/>
      <c r="O73" s="966"/>
      <c r="P73" s="966"/>
      <c r="Q73" s="966"/>
      <c r="R73" s="310"/>
      <c r="S73" s="308"/>
      <c r="T73" s="16"/>
      <c r="U73" s="16"/>
      <c r="V73" s="16"/>
    </row>
    <row r="74" spans="1:22" customFormat="1" ht="15.75" thickBot="1">
      <c r="A74" s="964" t="s">
        <v>140</v>
      </c>
      <c r="B74" s="965"/>
      <c r="C74" s="965"/>
      <c r="D74" s="299">
        <v>55</v>
      </c>
      <c r="E74" s="132"/>
      <c r="F74" s="133"/>
      <c r="G74" s="134"/>
      <c r="H74" s="133"/>
      <c r="I74" s="135"/>
      <c r="J74" s="139"/>
      <c r="K74" s="2"/>
      <c r="L74" s="280"/>
      <c r="M74" s="280"/>
      <c r="N74" s="16"/>
      <c r="O74" s="966"/>
      <c r="P74" s="966"/>
      <c r="Q74" s="966"/>
      <c r="R74" s="311"/>
      <c r="S74" s="670"/>
      <c r="T74" s="16"/>
      <c r="U74" s="16"/>
      <c r="V74" s="16"/>
    </row>
    <row r="75" spans="1:22" customFormat="1" ht="15.75" thickBot="1">
      <c r="A75" s="958" t="s">
        <v>141</v>
      </c>
      <c r="B75" s="959"/>
      <c r="C75" s="959"/>
      <c r="D75" s="299">
        <v>35</v>
      </c>
      <c r="E75" s="132"/>
      <c r="F75" s="133"/>
      <c r="G75" s="134"/>
      <c r="H75" s="133"/>
      <c r="I75" s="135"/>
      <c r="J75" s="139"/>
      <c r="K75" s="2"/>
      <c r="L75" s="280"/>
      <c r="M75" s="280"/>
      <c r="N75" s="16"/>
      <c r="O75" s="129"/>
      <c r="P75" s="312"/>
      <c r="Q75" s="670"/>
      <c r="R75" s="670"/>
      <c r="S75" s="670"/>
      <c r="T75" s="16"/>
      <c r="U75" s="16"/>
      <c r="V75" s="16"/>
    </row>
    <row r="76" spans="1:22" ht="15.75" thickBot="1">
      <c r="A76" s="958" t="s">
        <v>151</v>
      </c>
      <c r="B76" s="959"/>
      <c r="C76" s="959"/>
      <c r="D76" s="299">
        <v>0.8</v>
      </c>
      <c r="K76" s="961"/>
      <c r="L76" s="962"/>
      <c r="M76" s="963"/>
      <c r="N76" s="313"/>
      <c r="O76" s="314"/>
      <c r="P76" s="16"/>
      <c r="Q76" s="16"/>
      <c r="R76" s="16"/>
      <c r="S76" s="16"/>
    </row>
    <row r="77" spans="1:22" ht="15.75" thickBot="1">
      <c r="A77" s="958" t="s">
        <v>300</v>
      </c>
      <c r="B77" s="959"/>
      <c r="C77" s="959"/>
      <c r="D77" s="299">
        <v>90</v>
      </c>
      <c r="E77" s="17" t="s">
        <v>301</v>
      </c>
    </row>
    <row r="84" spans="1:17" ht="45">
      <c r="A84" s="948" t="s">
        <v>5</v>
      </c>
      <c r="B84" s="948"/>
      <c r="C84" s="188" t="s">
        <v>35</v>
      </c>
      <c r="D84" s="188" t="s">
        <v>40</v>
      </c>
      <c r="E84" s="188" t="s">
        <v>29</v>
      </c>
      <c r="F84" s="188" t="s">
        <v>30</v>
      </c>
      <c r="G84" s="189" t="s">
        <v>78</v>
      </c>
      <c r="H84" s="188" t="s">
        <v>59</v>
      </c>
      <c r="I84" s="188" t="s">
        <v>58</v>
      </c>
      <c r="J84" s="190" t="s">
        <v>13</v>
      </c>
      <c r="K84" s="190" t="s">
        <v>28</v>
      </c>
      <c r="L84" s="190" t="s">
        <v>26</v>
      </c>
      <c r="M84" s="147" t="s">
        <v>166</v>
      </c>
      <c r="N84" s="80" t="s">
        <v>84</v>
      </c>
      <c r="O84" s="80" t="s">
        <v>85</v>
      </c>
      <c r="P84" s="80"/>
      <c r="Q84" s="80"/>
    </row>
    <row r="85" spans="1:17" ht="18.75">
      <c r="A85" s="804"/>
      <c r="B85" s="804"/>
      <c r="C85" s="255"/>
      <c r="D85" s="255"/>
      <c r="E85" s="256"/>
      <c r="F85" s="256"/>
      <c r="G85" s="256"/>
      <c r="H85" s="256"/>
      <c r="I85" s="257"/>
      <c r="J85" s="514">
        <v>1</v>
      </c>
      <c r="K85" s="505">
        <v>2</v>
      </c>
      <c r="L85" s="505">
        <v>3</v>
      </c>
      <c r="M85" s="514">
        <v>4</v>
      </c>
      <c r="N85" s="506">
        <v>5</v>
      </c>
      <c r="O85" s="506">
        <v>6</v>
      </c>
      <c r="P85" s="186" t="s">
        <v>61</v>
      </c>
      <c r="Q85" s="187" t="s">
        <v>23</v>
      </c>
    </row>
    <row r="86" spans="1:17" ht="15.75">
      <c r="A86" s="672" t="s">
        <v>100</v>
      </c>
      <c r="B86" s="672" t="s">
        <v>288</v>
      </c>
      <c r="C86" s="255"/>
      <c r="D86" s="255"/>
      <c r="E86" s="417" t="s">
        <v>368</v>
      </c>
      <c r="F86" s="417" t="s">
        <v>368</v>
      </c>
      <c r="G86" s="256"/>
      <c r="H86" s="256"/>
      <c r="I86" s="257"/>
      <c r="J86" s="514">
        <v>1</v>
      </c>
      <c r="K86" s="505">
        <v>2</v>
      </c>
      <c r="L86" s="505">
        <v>3</v>
      </c>
      <c r="M86" s="514">
        <v>4</v>
      </c>
      <c r="N86" s="195">
        <v>5</v>
      </c>
      <c r="O86" s="195">
        <v>6</v>
      </c>
      <c r="P86" s="507">
        <v>26</v>
      </c>
      <c r="Q86" s="507">
        <v>28</v>
      </c>
    </row>
    <row r="87" spans="1:17" ht="15.75">
      <c r="A87" s="672" t="s">
        <v>100</v>
      </c>
      <c r="B87" s="672" t="s">
        <v>289</v>
      </c>
      <c r="C87" s="255"/>
      <c r="D87" s="255"/>
      <c r="E87" s="256"/>
      <c r="F87" s="256"/>
      <c r="G87" s="256"/>
      <c r="H87" s="256"/>
      <c r="I87" s="257"/>
      <c r="J87" s="514"/>
      <c r="K87" s="505"/>
      <c r="L87" s="505"/>
      <c r="M87" s="417" t="s">
        <v>368</v>
      </c>
      <c r="N87" s="195">
        <v>5</v>
      </c>
      <c r="O87" s="195">
        <v>6</v>
      </c>
      <c r="P87" s="507">
        <v>27</v>
      </c>
      <c r="Q87" s="507">
        <v>29</v>
      </c>
    </row>
    <row r="88" spans="1:17">
      <c r="A88" s="56"/>
      <c r="B88" s="56"/>
      <c r="C88" s="56"/>
      <c r="D88" s="56"/>
      <c r="E88" s="182"/>
      <c r="F88" s="182"/>
      <c r="G88" s="57"/>
      <c r="H88" s="57"/>
      <c r="I88" s="57"/>
      <c r="J88" s="58"/>
      <c r="K88" s="59"/>
      <c r="L88" s="58"/>
      <c r="M88" s="60"/>
      <c r="N88" s="129"/>
      <c r="O88" s="129"/>
    </row>
    <row r="89" spans="1:17">
      <c r="A89" s="56"/>
      <c r="B89" s="56"/>
      <c r="C89" s="56"/>
      <c r="D89" s="56"/>
      <c r="E89" s="182"/>
      <c r="F89" s="182"/>
      <c r="G89" s="57"/>
      <c r="H89" s="57"/>
      <c r="I89" s="57"/>
      <c r="J89" s="58"/>
      <c r="K89" s="59"/>
      <c r="L89" s="58"/>
      <c r="M89" s="60"/>
      <c r="N89" s="129"/>
      <c r="O89" s="129"/>
    </row>
    <row r="90" spans="1:17" ht="15.75" thickBot="1"/>
    <row r="91" spans="1:17">
      <c r="L91" s="949">
        <v>49</v>
      </c>
      <c r="M91" s="950"/>
      <c r="N91" s="950"/>
      <c r="O91" s="950"/>
      <c r="P91" s="950"/>
      <c r="Q91" s="951"/>
    </row>
    <row r="92" spans="1:17">
      <c r="L92" s="952"/>
      <c r="M92" s="953"/>
      <c r="N92" s="953"/>
      <c r="O92" s="953"/>
      <c r="P92" s="953"/>
      <c r="Q92" s="954"/>
    </row>
    <row r="93" spans="1:17" ht="15.75" thickBot="1">
      <c r="L93" s="955"/>
      <c r="M93" s="956"/>
      <c r="N93" s="956"/>
      <c r="O93" s="956"/>
      <c r="P93" s="956"/>
      <c r="Q93" s="957"/>
    </row>
  </sheetData>
  <mergeCells count="51">
    <mergeCell ref="C5:E6"/>
    <mergeCell ref="G5:J6"/>
    <mergeCell ref="K5:M6"/>
    <mergeCell ref="N5:O6"/>
    <mergeCell ref="K8:M9"/>
    <mergeCell ref="N8:O9"/>
    <mergeCell ref="P8:P9"/>
    <mergeCell ref="C13:E14"/>
    <mergeCell ref="F13:G14"/>
    <mergeCell ref="H13:H14"/>
    <mergeCell ref="M14:N17"/>
    <mergeCell ref="O14:P15"/>
    <mergeCell ref="C25:E26"/>
    <mergeCell ref="F25:G26"/>
    <mergeCell ref="H25:H26"/>
    <mergeCell ref="M25:P27"/>
    <mergeCell ref="Q14:R15"/>
    <mergeCell ref="O16:P17"/>
    <mergeCell ref="Q16:R17"/>
    <mergeCell ref="C17:E18"/>
    <mergeCell ref="F17:G18"/>
    <mergeCell ref="M18:N21"/>
    <mergeCell ref="O18:O19"/>
    <mergeCell ref="P18:P19"/>
    <mergeCell ref="Q18:R19"/>
    <mergeCell ref="O20:O21"/>
    <mergeCell ref="P20:P21"/>
    <mergeCell ref="Q20:R21"/>
    <mergeCell ref="C21:E22"/>
    <mergeCell ref="F21:G22"/>
    <mergeCell ref="H21:H22"/>
    <mergeCell ref="A74:C74"/>
    <mergeCell ref="O74:Q74"/>
    <mergeCell ref="P43:Q43"/>
    <mergeCell ref="A44:B44"/>
    <mergeCell ref="A45:B45"/>
    <mergeCell ref="K54:P56"/>
    <mergeCell ref="A62:C62"/>
    <mergeCell ref="A63:C63"/>
    <mergeCell ref="O70:Q70"/>
    <mergeCell ref="O71:Q71"/>
    <mergeCell ref="O72:Q72"/>
    <mergeCell ref="A73:C73"/>
    <mergeCell ref="O73:Q73"/>
    <mergeCell ref="L91:Q93"/>
    <mergeCell ref="A75:C75"/>
    <mergeCell ref="A76:C76"/>
    <mergeCell ref="K76:M76"/>
    <mergeCell ref="A77:C77"/>
    <mergeCell ref="A84:B84"/>
    <mergeCell ref="A85:B85"/>
  </mergeCells>
  <conditionalFormatting sqref="F25:G26">
    <cfRule type="cellIs" dxfId="4" priority="1" operator="greaterThan">
      <formula>55</formula>
    </cfRule>
  </conditionalFormatting>
  <dataValidations count="1">
    <dataValidation type="list" allowBlank="1" showInputMessage="1" showErrorMessage="1" promptTitle="Select a value " sqref="F17">
      <formula1>emissivity</formula1>
    </dataValidation>
  </dataValidations>
  <pageMargins left="0.7" right="0.7" top="0.75" bottom="0.75" header="0.3" footer="0.3"/>
  <drawing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D7A8C19-D1EA-43EF-BF1B-CD8874FE3092}">
          <x14:formula1>
            <xm:f>'Default values '!$C$2:$C$10</xm:f>
          </x14:formula1>
          <xm:sqref>N5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>
  <dimension ref="A1:AC136"/>
  <sheetViews>
    <sheetView topLeftCell="A28" workbookViewId="0">
      <selection activeCell="R45" sqref="R45"/>
    </sheetView>
  </sheetViews>
  <sheetFormatPr baseColWidth="10" defaultColWidth="8.85546875" defaultRowHeight="15"/>
  <cols>
    <col min="1" max="2" width="5.28515625" style="17" customWidth="1"/>
    <col min="3" max="3" width="13" style="17" customWidth="1"/>
    <col min="4" max="4" width="8.7109375" style="17" customWidth="1"/>
    <col min="5" max="5" width="6.28515625" style="17" customWidth="1"/>
    <col min="6" max="6" width="7.7109375" style="17" customWidth="1"/>
    <col min="7" max="11" width="8.7109375" style="17" customWidth="1"/>
    <col min="12" max="12" width="6.85546875" style="17" customWidth="1"/>
    <col min="13" max="13" width="11.28515625" style="17" customWidth="1"/>
    <col min="14" max="14" width="8.7109375" style="17" customWidth="1"/>
    <col min="15" max="15" width="13.140625" style="17" customWidth="1"/>
    <col min="16" max="16" width="12.85546875" style="17" customWidth="1"/>
    <col min="17" max="17" width="8.7109375" style="17" customWidth="1"/>
    <col min="18" max="18" width="5.7109375" style="17" customWidth="1"/>
    <col min="19" max="19" width="7.28515625" style="17" customWidth="1"/>
    <col min="20" max="21" width="8.85546875" style="16"/>
    <col min="22" max="22" width="5.5703125" style="16" customWidth="1"/>
    <col min="23" max="23" width="12.42578125" style="16" customWidth="1"/>
    <col min="24" max="24" width="13.42578125" style="16" customWidth="1"/>
    <col min="25" max="25" width="5.5703125" style="16" customWidth="1"/>
    <col min="26" max="26" width="5.5703125" style="17" customWidth="1"/>
    <col min="27" max="16384" width="8.85546875" style="17"/>
  </cols>
  <sheetData>
    <row r="1" spans="1:25" ht="15" customHeight="1">
      <c r="A1" s="656"/>
      <c r="B1" s="656"/>
      <c r="C1" s="656"/>
      <c r="D1" s="656"/>
      <c r="E1" s="656"/>
      <c r="F1" s="656"/>
      <c r="G1" s="656"/>
      <c r="H1" s="656"/>
      <c r="I1" s="656"/>
      <c r="J1" s="656"/>
      <c r="K1" s="656"/>
      <c r="L1" s="656"/>
      <c r="M1" s="656"/>
      <c r="N1" s="656"/>
      <c r="O1" s="656"/>
      <c r="P1" s="656"/>
      <c r="Q1" s="656"/>
      <c r="R1" s="656"/>
      <c r="S1" s="656"/>
    </row>
    <row r="2" spans="1:25" ht="15" customHeight="1">
      <c r="A2" s="656"/>
      <c r="B2" s="15"/>
      <c r="C2" s="15"/>
      <c r="D2" s="15"/>
      <c r="E2" s="15"/>
      <c r="F2" s="15"/>
      <c r="G2" s="656"/>
      <c r="H2" s="656"/>
      <c r="I2" s="656"/>
      <c r="J2" s="656"/>
      <c r="K2" s="656"/>
      <c r="L2" s="656"/>
      <c r="M2" s="656"/>
      <c r="N2" s="656"/>
      <c r="O2" s="656"/>
      <c r="P2" s="656"/>
      <c r="Q2" s="656"/>
      <c r="R2" s="656"/>
      <c r="S2" s="656"/>
    </row>
    <row r="3" spans="1:25" ht="7.9" customHeight="1">
      <c r="A3" s="656"/>
      <c r="B3" s="21"/>
      <c r="C3" s="21"/>
      <c r="D3" s="21"/>
      <c r="E3" s="21"/>
      <c r="F3" s="21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656"/>
    </row>
    <row r="4" spans="1:25" ht="5.45" customHeight="1">
      <c r="A4" s="656"/>
      <c r="B4" s="656"/>
      <c r="C4" s="656"/>
      <c r="D4" s="656"/>
      <c r="E4" s="656"/>
      <c r="F4" s="656"/>
      <c r="G4" s="656"/>
      <c r="H4" s="656"/>
      <c r="I4" s="656"/>
      <c r="J4" s="656"/>
      <c r="K4" s="656"/>
      <c r="L4" s="656"/>
      <c r="M4" s="656"/>
      <c r="N4" s="656"/>
      <c r="O4" s="656"/>
      <c r="P4" s="656"/>
      <c r="Q4" s="656"/>
      <c r="R4" s="656"/>
      <c r="S4" s="656"/>
      <c r="T4" s="24"/>
      <c r="U4" s="24"/>
    </row>
    <row r="5" spans="1:25" s="23" customFormat="1" ht="15" customHeight="1">
      <c r="A5" s="26"/>
      <c r="B5" s="28"/>
      <c r="C5" s="797" t="s">
        <v>15</v>
      </c>
      <c r="D5" s="797"/>
      <c r="E5" s="797"/>
      <c r="F5" s="32" t="s">
        <v>37</v>
      </c>
      <c r="G5" s="275" t="s">
        <v>213</v>
      </c>
      <c r="H5" s="275"/>
      <c r="I5" s="275"/>
      <c r="J5" s="275"/>
      <c r="K5" s="799" t="s">
        <v>14</v>
      </c>
      <c r="L5" s="799"/>
      <c r="M5" s="799"/>
      <c r="N5" s="838" t="s">
        <v>33</v>
      </c>
      <c r="O5" s="838"/>
      <c r="P5" s="32">
        <f>VLOOKUP(N5,'Default values '!C2:D10,2,TRUE)</f>
        <v>8760</v>
      </c>
      <c r="Q5" s="28"/>
      <c r="R5" s="28"/>
      <c r="S5" s="28"/>
      <c r="T5" s="25"/>
      <c r="U5" s="25"/>
      <c r="V5" s="22"/>
      <c r="W5" s="22"/>
      <c r="X5" s="22"/>
      <c r="Y5" s="22"/>
    </row>
    <row r="6" spans="1:25" ht="15" customHeight="1">
      <c r="A6" s="656"/>
      <c r="B6" s="14"/>
      <c r="C6" s="797"/>
      <c r="D6" s="797"/>
      <c r="E6" s="797"/>
      <c r="F6" s="32"/>
      <c r="G6" s="275"/>
      <c r="H6" s="275"/>
      <c r="I6" s="275"/>
      <c r="J6" s="275"/>
      <c r="K6" s="799"/>
      <c r="L6" s="799"/>
      <c r="M6" s="799"/>
      <c r="N6" s="838"/>
      <c r="O6" s="838"/>
      <c r="P6" s="14"/>
      <c r="Q6" s="14"/>
      <c r="R6" s="14"/>
      <c r="S6" s="14"/>
    </row>
    <row r="7" spans="1:25" ht="15" customHeight="1">
      <c r="A7" s="656"/>
      <c r="B7" s="14"/>
      <c r="C7" s="658"/>
      <c r="D7" s="658"/>
      <c r="E7" s="658"/>
      <c r="F7" s="42"/>
      <c r="G7" s="276"/>
      <c r="H7" s="276"/>
      <c r="I7" s="276"/>
      <c r="J7" s="276"/>
      <c r="K7" s="14"/>
      <c r="L7" s="14"/>
      <c r="M7" s="14"/>
      <c r="N7" s="14"/>
      <c r="O7" s="14"/>
      <c r="P7" s="14"/>
      <c r="Q7" s="14"/>
      <c r="R7" s="14"/>
      <c r="S7" s="14"/>
    </row>
    <row r="8" spans="1:25" ht="15" customHeight="1">
      <c r="A8" s="656"/>
      <c r="B8" s="14"/>
      <c r="C8" s="658"/>
      <c r="D8" s="658"/>
      <c r="E8" s="658"/>
      <c r="F8" s="42"/>
      <c r="G8" s="276"/>
      <c r="H8" s="276"/>
      <c r="I8" s="276"/>
      <c r="J8" s="276"/>
      <c r="K8" s="799" t="s">
        <v>39</v>
      </c>
      <c r="L8" s="799"/>
      <c r="M8" s="799"/>
      <c r="N8" s="850">
        <v>150</v>
      </c>
      <c r="O8" s="850"/>
      <c r="P8" s="793" t="s">
        <v>22</v>
      </c>
      <c r="Q8" s="14"/>
      <c r="R8" s="14"/>
      <c r="S8" s="14"/>
    </row>
    <row r="9" spans="1:25" s="23" customFormat="1" ht="15" customHeight="1">
      <c r="A9" s="656"/>
      <c r="B9" s="14"/>
      <c r="C9" s="658"/>
      <c r="D9" s="658"/>
      <c r="E9" s="658"/>
      <c r="F9" s="42"/>
      <c r="G9" s="276"/>
      <c r="H9" s="276"/>
      <c r="I9" s="276"/>
      <c r="J9" s="276"/>
      <c r="K9" s="799"/>
      <c r="L9" s="799"/>
      <c r="M9" s="799"/>
      <c r="N9" s="850"/>
      <c r="O9" s="850"/>
      <c r="P9" s="793"/>
      <c r="Q9" s="26"/>
      <c r="R9" s="26"/>
      <c r="S9" s="26"/>
      <c r="T9" s="22"/>
      <c r="U9" s="22"/>
      <c r="V9" s="22"/>
      <c r="W9" s="22"/>
      <c r="X9" s="22"/>
      <c r="Y9" s="22"/>
    </row>
    <row r="10" spans="1:25" ht="15" customHeight="1">
      <c r="A10" s="656"/>
      <c r="B10" s="14"/>
      <c r="C10" s="658"/>
      <c r="D10" s="658"/>
      <c r="E10" s="658"/>
      <c r="F10" s="42"/>
      <c r="G10" s="42"/>
      <c r="H10" s="42"/>
      <c r="I10" s="656"/>
      <c r="J10" s="656"/>
      <c r="K10" s="656"/>
      <c r="L10" s="656"/>
      <c r="M10" s="656"/>
      <c r="N10" s="656"/>
      <c r="O10" s="656"/>
      <c r="P10" s="656"/>
      <c r="Q10" s="656"/>
      <c r="R10" s="656"/>
      <c r="S10" s="656"/>
    </row>
    <row r="11" spans="1:25" ht="15" customHeight="1" thickBot="1">
      <c r="A11" s="656"/>
      <c r="B11" s="14"/>
      <c r="C11" s="14"/>
      <c r="D11" s="14"/>
      <c r="E11" s="14"/>
      <c r="F11" s="14"/>
      <c r="G11" s="14"/>
      <c r="H11" s="14"/>
      <c r="I11" s="656"/>
      <c r="J11" s="656"/>
      <c r="K11" s="656"/>
      <c r="L11" s="656"/>
      <c r="M11" s="656"/>
      <c r="N11" s="656"/>
      <c r="O11" s="656"/>
      <c r="P11" s="656"/>
      <c r="Q11" s="656"/>
      <c r="R11" s="656"/>
      <c r="S11" s="656"/>
    </row>
    <row r="12" spans="1:25" ht="15" customHeight="1" thickTop="1">
      <c r="A12" s="656"/>
      <c r="B12" s="29"/>
      <c r="C12" s="30"/>
      <c r="D12" s="30"/>
      <c r="E12" s="30"/>
      <c r="F12" s="30"/>
      <c r="G12" s="30"/>
      <c r="H12" s="30"/>
      <c r="I12" s="6"/>
      <c r="J12" s="6"/>
      <c r="K12" s="48"/>
      <c r="L12" s="656"/>
      <c r="M12" s="15"/>
      <c r="N12" s="15"/>
      <c r="O12" s="15"/>
      <c r="P12" s="15"/>
      <c r="Q12" s="15"/>
      <c r="R12" s="15"/>
      <c r="S12" s="656"/>
    </row>
    <row r="13" spans="1:25" s="23" customFormat="1" ht="15" customHeight="1">
      <c r="A13" s="26"/>
      <c r="B13" s="31"/>
      <c r="C13" s="973" t="s">
        <v>392</v>
      </c>
      <c r="D13" s="902">
        <v>150</v>
      </c>
      <c r="E13" s="902"/>
      <c r="F13" s="793" t="s">
        <v>44</v>
      </c>
      <c r="G13" s="799" t="s">
        <v>45</v>
      </c>
      <c r="H13" s="799"/>
      <c r="I13" s="902">
        <v>10</v>
      </c>
      <c r="J13" s="902"/>
      <c r="K13" s="900" t="s">
        <v>46</v>
      </c>
      <c r="L13" s="26"/>
      <c r="M13" s="41"/>
      <c r="N13" s="41"/>
      <c r="O13" s="41"/>
      <c r="P13" s="41"/>
      <c r="Q13" s="41"/>
      <c r="R13" s="41"/>
      <c r="S13" s="26"/>
      <c r="T13" s="22"/>
      <c r="U13" s="22"/>
      <c r="V13" s="22"/>
      <c r="W13" s="22"/>
      <c r="X13" s="22"/>
      <c r="Y13" s="22"/>
    </row>
    <row r="14" spans="1:25" ht="15" customHeight="1">
      <c r="A14" s="656"/>
      <c r="B14" s="8"/>
      <c r="C14" s="974"/>
      <c r="D14" s="902"/>
      <c r="E14" s="902"/>
      <c r="F14" s="793"/>
      <c r="G14" s="799"/>
      <c r="H14" s="799"/>
      <c r="I14" s="902"/>
      <c r="J14" s="902"/>
      <c r="K14" s="900"/>
      <c r="L14" s="26"/>
      <c r="M14" s="851" t="str">
        <f>IF(F25="","","Heat loss")</f>
        <v>Heat loss</v>
      </c>
      <c r="N14" s="851"/>
      <c r="O14" s="939">
        <f>IF(F25="","",S45)</f>
        <v>20814.04869642909</v>
      </c>
      <c r="P14" s="939"/>
      <c r="Q14" s="839" t="str">
        <f>IF(F25="","","kWh/a")</f>
        <v>kWh/a</v>
      </c>
      <c r="R14" s="839"/>
      <c r="S14" s="656"/>
    </row>
    <row r="15" spans="1:25" ht="15" customHeight="1">
      <c r="A15" s="656"/>
      <c r="B15" s="8"/>
      <c r="C15" s="656"/>
      <c r="D15" s="656"/>
      <c r="E15" s="656"/>
      <c r="F15" s="33"/>
      <c r="G15" s="33"/>
      <c r="H15" s="656"/>
      <c r="I15" s="15"/>
      <c r="J15" s="15"/>
      <c r="K15" s="40"/>
      <c r="L15" s="15"/>
      <c r="M15" s="851"/>
      <c r="N15" s="851"/>
      <c r="O15" s="939"/>
      <c r="P15" s="939"/>
      <c r="Q15" s="839"/>
      <c r="R15" s="839"/>
      <c r="S15" s="656"/>
    </row>
    <row r="16" spans="1:25" ht="15" customHeight="1">
      <c r="A16" s="656"/>
      <c r="B16" s="8"/>
      <c r="C16" s="656"/>
      <c r="D16" s="656"/>
      <c r="E16" s="656"/>
      <c r="F16" s="33"/>
      <c r="G16" s="33"/>
      <c r="H16" s="656"/>
      <c r="I16" s="27"/>
      <c r="J16" s="27"/>
      <c r="K16" s="40"/>
      <c r="L16" s="27"/>
      <c r="M16" s="851"/>
      <c r="N16" s="851"/>
      <c r="O16" s="941">
        <f>IF(F25=0,"",T45)</f>
        <v>749.30575307144716</v>
      </c>
      <c r="P16" s="941"/>
      <c r="Q16" s="841" t="str">
        <f>IF(F25=0,"","€/a")</f>
        <v>€/a</v>
      </c>
      <c r="R16" s="841"/>
      <c r="S16" s="656"/>
    </row>
    <row r="17" spans="1:25" s="23" customFormat="1" ht="15" customHeight="1">
      <c r="A17" s="26"/>
      <c r="B17" s="31"/>
      <c r="C17" s="793" t="s">
        <v>99</v>
      </c>
      <c r="D17" s="793"/>
      <c r="E17" s="793"/>
      <c r="F17" s="838" t="s">
        <v>329</v>
      </c>
      <c r="G17" s="838"/>
      <c r="H17" s="47">
        <f>IF(F17="","",VLOOKUP(F17,'Default values '!A2:B7,2,FALSE))</f>
        <v>0.9</v>
      </c>
      <c r="I17" s="27"/>
      <c r="J17" s="27"/>
      <c r="K17" s="46"/>
      <c r="L17" s="27"/>
      <c r="M17" s="851"/>
      <c r="N17" s="851"/>
      <c r="O17" s="941"/>
      <c r="P17" s="941"/>
      <c r="Q17" s="841"/>
      <c r="R17" s="841"/>
      <c r="S17" s="26"/>
      <c r="T17" s="22"/>
      <c r="U17" s="22"/>
      <c r="V17" s="22"/>
      <c r="W17" s="22"/>
      <c r="X17" s="22"/>
      <c r="Y17" s="22"/>
    </row>
    <row r="18" spans="1:25" ht="15" customHeight="1">
      <c r="A18" s="656"/>
      <c r="B18" s="8"/>
      <c r="C18" s="793"/>
      <c r="D18" s="793"/>
      <c r="E18" s="793"/>
      <c r="F18" s="838"/>
      <c r="G18" s="838"/>
      <c r="H18" s="15"/>
      <c r="I18" s="656"/>
      <c r="J18" s="656"/>
      <c r="K18" s="9"/>
      <c r="L18" s="656"/>
      <c r="M18" s="842" t="str">
        <f>IF(F25="","",IF(U48&lt;0,"","Saving potential"))</f>
        <v>Saving potential</v>
      </c>
      <c r="N18" s="842"/>
      <c r="O18" s="916">
        <f>IF(F25=0,"",IF(U48&lt;0,"",U48))</f>
        <v>4162.8097392858217</v>
      </c>
      <c r="P18" s="916">
        <f>IF(F25=0,"",IF(U49&lt;0,"",U49))</f>
        <v>11447.726783036002</v>
      </c>
      <c r="Q18" s="898" t="str">
        <f>IF(F25="","",IF(U48&lt;0,"","kWh/a"))</f>
        <v>kWh/a</v>
      </c>
      <c r="R18" s="898"/>
      <c r="S18" s="656"/>
    </row>
    <row r="19" spans="1:25" ht="15" customHeight="1">
      <c r="A19" s="656"/>
      <c r="B19" s="8"/>
      <c r="C19" s="15"/>
      <c r="D19" s="15"/>
      <c r="E19" s="15"/>
      <c r="F19" s="33"/>
      <c r="G19" s="33"/>
      <c r="H19" s="15"/>
      <c r="I19" s="656"/>
      <c r="J19" s="656"/>
      <c r="K19" s="9"/>
      <c r="L19" s="656"/>
      <c r="M19" s="842"/>
      <c r="N19" s="842"/>
      <c r="O19" s="916"/>
      <c r="P19" s="916"/>
      <c r="Q19" s="898"/>
      <c r="R19" s="898"/>
      <c r="S19" s="656"/>
    </row>
    <row r="20" spans="1:25" ht="15" customHeight="1">
      <c r="A20" s="656"/>
      <c r="B20" s="8"/>
      <c r="C20" s="656"/>
      <c r="D20" s="656"/>
      <c r="E20" s="656"/>
      <c r="F20" s="33"/>
      <c r="G20" s="33"/>
      <c r="H20" s="656"/>
      <c r="I20" s="656"/>
      <c r="J20" s="656"/>
      <c r="K20" s="9"/>
      <c r="L20" s="656"/>
      <c r="M20" s="842"/>
      <c r="N20" s="842"/>
      <c r="O20" s="917">
        <f>IF(F25=0,"",IF(V48&lt;0,"",V48))</f>
        <v>149.8611506142895</v>
      </c>
      <c r="P20" s="917">
        <f>IF(F25=0,"",IF(V48&lt;0,"",V49))</f>
        <v>412.11816418929601</v>
      </c>
      <c r="Q20" s="899" t="str">
        <f>IF(F25="","",IF(U48&lt;0,"","€/a"))</f>
        <v>€/a</v>
      </c>
      <c r="R20" s="899"/>
      <c r="S20" s="656"/>
    </row>
    <row r="21" spans="1:25" s="23" customFormat="1" ht="15" customHeight="1">
      <c r="A21" s="26"/>
      <c r="B21" s="31"/>
      <c r="C21" s="793" t="s">
        <v>36</v>
      </c>
      <c r="D21" s="793"/>
      <c r="E21" s="793"/>
      <c r="F21" s="850">
        <v>20</v>
      </c>
      <c r="G21" s="850"/>
      <c r="H21" s="793" t="s">
        <v>22</v>
      </c>
      <c r="I21" s="26"/>
      <c r="J21" s="26"/>
      <c r="K21" s="46"/>
      <c r="L21" s="26"/>
      <c r="M21" s="842"/>
      <c r="N21" s="842"/>
      <c r="O21" s="917"/>
      <c r="P21" s="917"/>
      <c r="Q21" s="899"/>
      <c r="R21" s="899"/>
      <c r="S21" s="26"/>
      <c r="T21" s="22"/>
      <c r="U21" s="22"/>
      <c r="V21" s="22"/>
      <c r="W21" s="22"/>
      <c r="X21" s="22"/>
      <c r="Y21" s="22"/>
    </row>
    <row r="22" spans="1:25" ht="15" customHeight="1">
      <c r="A22" s="656"/>
      <c r="B22" s="8"/>
      <c r="C22" s="793"/>
      <c r="D22" s="793"/>
      <c r="E22" s="793"/>
      <c r="F22" s="850"/>
      <c r="G22" s="850"/>
      <c r="H22" s="793"/>
      <c r="I22" s="656"/>
      <c r="J22" s="656"/>
      <c r="K22" s="9"/>
      <c r="L22" s="656"/>
      <c r="M22" s="41"/>
      <c r="N22" s="41"/>
      <c r="O22" s="41"/>
      <c r="P22" s="41"/>
      <c r="Q22" s="41"/>
      <c r="R22" s="41"/>
      <c r="S22" s="656"/>
    </row>
    <row r="23" spans="1:25" ht="15" customHeight="1">
      <c r="A23" s="656"/>
      <c r="B23" s="8"/>
      <c r="C23" s="656"/>
      <c r="D23" s="656"/>
      <c r="E23" s="656"/>
      <c r="F23" s="656"/>
      <c r="G23" s="656"/>
      <c r="H23" s="18"/>
      <c r="I23" s="19"/>
      <c r="J23" s="19"/>
      <c r="K23" s="40"/>
      <c r="L23" s="656"/>
      <c r="M23" s="45"/>
      <c r="N23" s="43"/>
      <c r="O23" s="43"/>
      <c r="P23" s="43"/>
      <c r="Q23" s="43"/>
      <c r="R23" s="43"/>
      <c r="S23" s="656"/>
    </row>
    <row r="24" spans="1:25" ht="15" customHeight="1">
      <c r="A24" s="656"/>
      <c r="B24" s="8"/>
      <c r="C24" s="656"/>
      <c r="D24" s="656"/>
      <c r="E24" s="656"/>
      <c r="F24" s="656"/>
      <c r="G24" s="656"/>
      <c r="H24" s="19"/>
      <c r="I24" s="19"/>
      <c r="J24" s="19"/>
      <c r="K24" s="40"/>
      <c r="L24" s="656"/>
      <c r="M24" s="49"/>
      <c r="N24" s="44"/>
      <c r="O24" s="44"/>
      <c r="P24" s="44"/>
      <c r="Q24" s="43"/>
      <c r="R24" s="43"/>
      <c r="S24" s="656"/>
    </row>
    <row r="25" spans="1:25" ht="15" customHeight="1">
      <c r="A25" s="26"/>
      <c r="B25" s="8"/>
      <c r="C25" s="793" t="s">
        <v>38</v>
      </c>
      <c r="D25" s="793"/>
      <c r="E25" s="793"/>
      <c r="F25" s="850">
        <v>60</v>
      </c>
      <c r="G25" s="850"/>
      <c r="H25" s="793" t="s">
        <v>22</v>
      </c>
      <c r="I25" s="19"/>
      <c r="J25" s="19"/>
      <c r="K25" s="40"/>
      <c r="L25" s="656"/>
      <c r="M25" s="856" t="str">
        <f>IF(F25="","",M50)</f>
        <v>"Savings can be achieved by increasing the insulant performance or thickness"</v>
      </c>
      <c r="N25" s="856"/>
      <c r="O25" s="856"/>
      <c r="P25" s="856"/>
      <c r="Q25" s="43"/>
      <c r="R25" s="43"/>
      <c r="S25" s="656"/>
    </row>
    <row r="26" spans="1:25" ht="15" customHeight="1">
      <c r="A26" s="656"/>
      <c r="B26" s="8"/>
      <c r="C26" s="793"/>
      <c r="D26" s="793"/>
      <c r="E26" s="793"/>
      <c r="F26" s="850"/>
      <c r="G26" s="850"/>
      <c r="H26" s="793"/>
      <c r="I26" s="19"/>
      <c r="J26" s="19"/>
      <c r="K26" s="40"/>
      <c r="L26" s="656"/>
      <c r="M26" s="856"/>
      <c r="N26" s="856"/>
      <c r="O26" s="856"/>
      <c r="P26" s="856"/>
      <c r="Q26" s="43"/>
      <c r="R26" s="656"/>
      <c r="S26" s="656"/>
    </row>
    <row r="27" spans="1:25" ht="15" customHeight="1" thickBot="1">
      <c r="A27" s="656"/>
      <c r="B27" s="10"/>
      <c r="C27" s="11"/>
      <c r="D27" s="11"/>
      <c r="E27" s="11"/>
      <c r="F27" s="11"/>
      <c r="G27" s="11"/>
      <c r="H27" s="11"/>
      <c r="I27" s="11"/>
      <c r="J27" s="11"/>
      <c r="K27" s="12"/>
      <c r="L27" s="656"/>
      <c r="M27" s="856"/>
      <c r="N27" s="856"/>
      <c r="O27" s="856"/>
      <c r="P27" s="856"/>
      <c r="Q27" s="43"/>
      <c r="R27" s="656"/>
      <c r="S27" s="656"/>
    </row>
    <row r="28" spans="1:25" ht="15" customHeight="1" thickTop="1" thickBot="1">
      <c r="A28" s="656"/>
      <c r="B28" s="656"/>
      <c r="C28" s="656"/>
      <c r="D28" s="656"/>
      <c r="E28" s="656"/>
      <c r="F28" s="656"/>
      <c r="G28" s="656"/>
      <c r="H28" s="656"/>
      <c r="I28" s="656"/>
      <c r="J28" s="656"/>
      <c r="K28" s="656"/>
      <c r="L28" s="656"/>
      <c r="M28" s="656"/>
      <c r="N28" s="656"/>
      <c r="O28" s="656"/>
      <c r="P28" s="656"/>
      <c r="Q28" s="656"/>
      <c r="R28" s="656"/>
      <c r="S28" s="656"/>
    </row>
    <row r="29" spans="1:25" ht="15" customHeight="1" thickTop="1">
      <c r="A29" s="65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56"/>
    </row>
    <row r="30" spans="1:25">
      <c r="A30" s="65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</row>
    <row r="31" spans="1:25">
      <c r="A31" s="65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</row>
    <row r="32" spans="1:25">
      <c r="A32" s="65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</row>
    <row r="33" spans="1:29">
      <c r="A33" s="65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</row>
    <row r="34" spans="1:29">
      <c r="A34" s="65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</row>
    <row r="35" spans="1:29">
      <c r="A35" s="65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</row>
    <row r="36" spans="1:29">
      <c r="A36" s="65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</row>
    <row r="37" spans="1:29">
      <c r="A37" s="65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</row>
    <row r="38" spans="1:29">
      <c r="A38" s="65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</row>
    <row r="39" spans="1:29">
      <c r="A39" s="65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</row>
    <row r="40" spans="1:29">
      <c r="A40" s="65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</row>
    <row r="41" spans="1:29">
      <c r="A41" s="65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</row>
    <row r="42" spans="1:29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</row>
    <row r="43" spans="1:29" ht="72.7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307" t="s">
        <v>175</v>
      </c>
      <c r="S43" s="981"/>
      <c r="T43" s="981"/>
      <c r="U43" s="960" t="s">
        <v>101</v>
      </c>
      <c r="V43" s="960"/>
      <c r="W43" s="199" t="s">
        <v>149</v>
      </c>
    </row>
    <row r="44" spans="1:29" ht="60.75" thickBot="1">
      <c r="A44" s="802" t="s">
        <v>5</v>
      </c>
      <c r="B44" s="803"/>
      <c r="C44" s="662" t="s">
        <v>158</v>
      </c>
      <c r="D44" s="662" t="s">
        <v>102</v>
      </c>
      <c r="E44" s="662" t="s">
        <v>103</v>
      </c>
      <c r="F44" s="82" t="s">
        <v>40</v>
      </c>
      <c r="G44" s="82" t="s">
        <v>29</v>
      </c>
      <c r="H44" s="82" t="s">
        <v>30</v>
      </c>
      <c r="I44" s="84" t="s">
        <v>78</v>
      </c>
      <c r="J44" s="82" t="s">
        <v>59</v>
      </c>
      <c r="K44" s="82" t="s">
        <v>58</v>
      </c>
      <c r="L44" s="83" t="s">
        <v>13</v>
      </c>
      <c r="M44" s="112" t="s">
        <v>106</v>
      </c>
      <c r="N44" s="83" t="s">
        <v>152</v>
      </c>
      <c r="O44" s="83" t="s">
        <v>105</v>
      </c>
      <c r="P44" s="83" t="s">
        <v>26</v>
      </c>
      <c r="Q44" s="113" t="s">
        <v>107</v>
      </c>
      <c r="R44" s="78" t="s">
        <v>139</v>
      </c>
      <c r="S44" s="80" t="s">
        <v>84</v>
      </c>
      <c r="T44" s="80" t="s">
        <v>85</v>
      </c>
      <c r="U44" s="80"/>
      <c r="V44" s="80"/>
      <c r="W44" s="200" t="s">
        <v>154</v>
      </c>
      <c r="X44" s="206" t="s">
        <v>150</v>
      </c>
      <c r="Y44" s="114" t="s">
        <v>155</v>
      </c>
      <c r="Z44" s="114"/>
      <c r="AA44" s="16"/>
      <c r="AB44" s="16"/>
      <c r="AC44" s="16"/>
    </row>
    <row r="45" spans="1:29" ht="15.75" thickBot="1">
      <c r="A45" s="971" t="str">
        <f>G5</f>
        <v>Pipe preheater-burner</v>
      </c>
      <c r="B45" s="972"/>
      <c r="C45" s="661">
        <f>D13</f>
        <v>150</v>
      </c>
      <c r="D45" s="226">
        <f>VLOOKUP(C45,A84:B123,2,TRUE)</f>
        <v>0.16900000000000001</v>
      </c>
      <c r="E45" s="661">
        <f>I13</f>
        <v>10</v>
      </c>
      <c r="F45" s="661">
        <f>N8</f>
        <v>150</v>
      </c>
      <c r="G45" s="224">
        <f>F25</f>
        <v>60</v>
      </c>
      <c r="H45" s="224">
        <f>F21</f>
        <v>20</v>
      </c>
      <c r="I45" s="228">
        <f>H17</f>
        <v>0.9</v>
      </c>
      <c r="J45" s="224">
        <f>P5</f>
        <v>8760</v>
      </c>
      <c r="K45" s="228">
        <f>TBi!L27</f>
        <v>3.5999999999999997E-2</v>
      </c>
      <c r="L45" s="125">
        <f>IF(G45=0,"",I45*D56*(((G45+273)^4-(H45+273)^4)/(G45-H45)))</f>
        <v>6.2851589184743641</v>
      </c>
      <c r="M45" s="159">
        <f>D45^3*ABS(G45-H45)</f>
        <v>0.19307236000000003</v>
      </c>
      <c r="N45" s="126">
        <f>IF(G45=0,"",1.25*(ABS(G45-H45)/D45)^0.25)</f>
        <v>4.9029033784546012</v>
      </c>
      <c r="O45" s="126">
        <f>1.21*(ABS(G45-H45))^0.33</f>
        <v>4.0875696648489157</v>
      </c>
      <c r="P45" s="126">
        <f>IF(M45&lt;10,N45+L45,O45+L45)</f>
        <v>11.188062296928965</v>
      </c>
      <c r="Q45" s="160">
        <f>1/(D55*P45*D45)</f>
        <v>0.16834783328825187</v>
      </c>
      <c r="R45" s="127">
        <f>IF(G45=0,"",ABS(G45-H45)/Q45)</f>
        <v>237.6032956213366</v>
      </c>
      <c r="S45" s="128">
        <f>IF(G45=0,"",R45*J45*E45/1000)</f>
        <v>20814.04869642909</v>
      </c>
      <c r="T45" s="174">
        <f>IF(G45=0,"",S45*K45)</f>
        <v>749.30575307144716</v>
      </c>
      <c r="U45" s="61"/>
      <c r="V45" s="61"/>
      <c r="W45" s="201">
        <f>(F45-G45)/R45</f>
        <v>0.37878262489856673</v>
      </c>
      <c r="X45" s="201">
        <f>(D45-Y45)/2</f>
        <v>1.3248890717968587E-2</v>
      </c>
      <c r="Y45" s="207">
        <f>D45/EXP(2*D55*Y57*W45)</f>
        <v>0.14250221856406284</v>
      </c>
      <c r="Z45" s="117"/>
      <c r="AA45" s="16"/>
      <c r="AB45" s="16"/>
      <c r="AC45" s="16"/>
    </row>
    <row r="46" spans="1:29" ht="15.75" thickBot="1">
      <c r="A46" s="971" t="s">
        <v>290</v>
      </c>
      <c r="B46" s="972"/>
      <c r="C46" s="661"/>
      <c r="D46" s="226">
        <f t="shared" ref="D46:F47" si="0">D45</f>
        <v>0.16900000000000001</v>
      </c>
      <c r="E46" s="661">
        <f t="shared" si="0"/>
        <v>10</v>
      </c>
      <c r="F46" s="661">
        <f t="shared" si="0"/>
        <v>150</v>
      </c>
      <c r="G46" s="418">
        <f>D66</f>
        <v>55</v>
      </c>
      <c r="H46" s="418">
        <f>D67</f>
        <v>35</v>
      </c>
      <c r="I46" s="228">
        <f>D68</f>
        <v>0.8</v>
      </c>
      <c r="J46" s="224">
        <f>J45</f>
        <v>8760</v>
      </c>
      <c r="K46" s="228">
        <f>K45</f>
        <v>3.5999999999999997E-2</v>
      </c>
      <c r="L46" s="125">
        <f>IF(G46=0,"",I46*D56*(((G46+273)^4-(H46+273)^4)/(G46-H46)))</f>
        <v>5.8407922844206084</v>
      </c>
      <c r="M46" s="159">
        <f>D46^3*ABS(G46-H46)</f>
        <v>9.6536180000000013E-2</v>
      </c>
      <c r="N46" s="126">
        <f>IF(G46=0,"",1.25*(ABS(G46-H46)/D46)^0.25)</f>
        <v>4.1228338752777995</v>
      </c>
      <c r="O46" s="126">
        <f>1.21*(ABS(G46-H46))^0.33</f>
        <v>3.2518107982771776</v>
      </c>
      <c r="P46" s="126">
        <f>IF(M46&lt;10,N46+L46,O46+L46)</f>
        <v>9.963626159698407</v>
      </c>
      <c r="Q46" s="160">
        <f>1/(D55*P46*D46)</f>
        <v>0.18903620190011083</v>
      </c>
      <c r="R46" s="421">
        <f>R45*0.8</f>
        <v>190.0826364970693</v>
      </c>
      <c r="S46" s="128">
        <f>IF(G46=0,"",R46*J46*E46/1000)</f>
        <v>16651.238957143269</v>
      </c>
      <c r="T46" s="174">
        <f>IF(G46=0,"",S46*K46)</f>
        <v>599.44460245715766</v>
      </c>
      <c r="U46" s="79"/>
      <c r="V46" s="79"/>
      <c r="W46" s="201">
        <f>(F46-G46)/R46</f>
        <v>0.49978263007449769</v>
      </c>
      <c r="X46" s="205">
        <f>(Y45*EXP(2*D55*Y57*W46)-Y45)/2</f>
        <v>1.798001950588797E-2</v>
      </c>
      <c r="Y46" s="117"/>
      <c r="Z46" s="117"/>
      <c r="AA46" s="16"/>
      <c r="AB46" s="16"/>
      <c r="AC46" s="16"/>
    </row>
    <row r="47" spans="1:29" s="16" customFormat="1" ht="18.75">
      <c r="A47" s="971" t="s">
        <v>291</v>
      </c>
      <c r="B47" s="972"/>
      <c r="C47" s="661"/>
      <c r="D47" s="226">
        <f t="shared" si="0"/>
        <v>0.16900000000000001</v>
      </c>
      <c r="E47" s="661">
        <f t="shared" si="0"/>
        <v>10</v>
      </c>
      <c r="F47" s="661">
        <f t="shared" si="0"/>
        <v>150</v>
      </c>
      <c r="G47" s="661">
        <v>55</v>
      </c>
      <c r="H47" s="661">
        <v>35</v>
      </c>
      <c r="I47" s="228"/>
      <c r="J47" s="224"/>
      <c r="K47" s="228"/>
      <c r="L47" s="125"/>
      <c r="M47" s="159"/>
      <c r="N47" s="126"/>
      <c r="O47" s="126"/>
      <c r="P47" s="126"/>
      <c r="Q47" s="160"/>
      <c r="R47" s="421">
        <f>R45*0.45</f>
        <v>106.92148302960148</v>
      </c>
      <c r="S47" s="128">
        <f>IF(G46=0,"",R47*J46*E46/1000)</f>
        <v>9366.3219133930888</v>
      </c>
      <c r="T47" s="174">
        <f>IF(G46=0,"",S47*K46)</f>
        <v>337.18758888215115</v>
      </c>
      <c r="U47" s="186" t="s">
        <v>61</v>
      </c>
      <c r="V47" s="187" t="s">
        <v>23</v>
      </c>
      <c r="W47" s="201">
        <f>(F47-G47)/R47</f>
        <v>0.88850245346577372</v>
      </c>
      <c r="X47" s="205">
        <f>(Y45*EXP(2*D55*Y57*W47)-Y45)/2</f>
        <v>3.5046753105402284E-2</v>
      </c>
    </row>
    <row r="48" spans="1:29" s="16" customFormat="1">
      <c r="A48" s="56"/>
      <c r="B48" s="56"/>
      <c r="C48" s="56"/>
      <c r="D48" s="56"/>
      <c r="E48" s="182"/>
      <c r="F48" s="182"/>
      <c r="G48" s="57"/>
      <c r="H48" s="57"/>
      <c r="I48" s="57"/>
      <c r="J48" s="58"/>
      <c r="K48" s="59" t="s">
        <v>204</v>
      </c>
      <c r="L48" s="59"/>
      <c r="M48" s="58"/>
      <c r="N48" s="208">
        <f>IF(G46=0,"",1.25*((G46-H46)/(D46+2*D71))^0.25)</f>
        <v>3.670535611286974</v>
      </c>
      <c r="O48" s="209">
        <f>1.21*((G46-H46))^0.33</f>
        <v>3.2518107982771776</v>
      </c>
      <c r="P48" s="209">
        <f>IF(M46&lt;10,N46+L46,O46+L46)</f>
        <v>9.963626159698407</v>
      </c>
      <c r="Q48" s="210">
        <f>1/(D55*P46*(D46+2*D71))</f>
        <v>0.11876252089635217</v>
      </c>
      <c r="R48" s="211">
        <f>IF(G46=0,"",(G46-H46)/Q48)</f>
        <v>168.40329633499979</v>
      </c>
      <c r="S48" s="657"/>
      <c r="T48" s="657"/>
      <c r="U48" s="184">
        <f>S45-S46</f>
        <v>4162.8097392858217</v>
      </c>
      <c r="V48" s="79">
        <f>T45-T46</f>
        <v>149.8611506142895</v>
      </c>
      <c r="W48" s="200"/>
      <c r="X48" s="200"/>
    </row>
    <row r="49" spans="1:25" s="16" customFormat="1" ht="15.75" thickBot="1">
      <c r="A49" s="56"/>
      <c r="B49" s="56"/>
      <c r="C49" s="57"/>
      <c r="D49" s="57"/>
      <c r="E49" s="183"/>
      <c r="F49" s="59"/>
      <c r="G49" s="57"/>
      <c r="H49" s="57"/>
      <c r="I49" s="57"/>
      <c r="J49" s="58"/>
      <c r="K49" s="59"/>
      <c r="L49" s="58"/>
      <c r="M49" s="60"/>
      <c r="N49" s="123"/>
      <c r="O49" s="123"/>
      <c r="P49" s="129"/>
      <c r="Q49" s="129"/>
      <c r="R49" s="657"/>
      <c r="S49" s="657"/>
      <c r="T49" s="657"/>
      <c r="U49" s="184">
        <f>S45-S47</f>
        <v>11447.726783036002</v>
      </c>
      <c r="V49" s="184">
        <f>T45-T47</f>
        <v>412.11816418929601</v>
      </c>
      <c r="W49" s="199"/>
      <c r="X49" s="199"/>
    </row>
    <row r="50" spans="1:25" s="16" customFormat="1" ht="15.75" thickBot="1">
      <c r="A50" s="56"/>
      <c r="B50" s="56"/>
      <c r="C50" s="56"/>
      <c r="D50" s="57"/>
      <c r="E50" s="58"/>
      <c r="F50" s="58"/>
      <c r="G50" s="57"/>
      <c r="H50" s="57"/>
      <c r="I50" s="57"/>
      <c r="J50" s="58"/>
      <c r="K50" s="59"/>
      <c r="L50" s="58"/>
      <c r="M50" s="927" t="s">
        <v>371</v>
      </c>
      <c r="N50" s="928"/>
      <c r="O50" s="928"/>
      <c r="P50" s="928"/>
      <c r="Q50" s="928"/>
      <c r="R50" s="929"/>
      <c r="S50" s="657"/>
      <c r="T50" s="657"/>
      <c r="U50" s="657"/>
      <c r="W50" s="975" t="s">
        <v>110</v>
      </c>
      <c r="X50" s="976"/>
    </row>
    <row r="51" spans="1:25" s="16" customFormat="1" ht="15.75" thickBot="1">
      <c r="A51" s="56"/>
      <c r="B51" s="56"/>
      <c r="C51" s="56"/>
      <c r="D51" s="57"/>
      <c r="E51" s="60"/>
      <c r="F51" s="17"/>
      <c r="G51" s="57"/>
      <c r="H51" s="57"/>
      <c r="I51" s="57"/>
      <c r="J51" s="58"/>
      <c r="K51" s="59"/>
      <c r="L51" s="58"/>
      <c r="M51" s="930"/>
      <c r="N51" s="931"/>
      <c r="O51" s="931"/>
      <c r="P51" s="931"/>
      <c r="Q51" s="931"/>
      <c r="R51" s="932"/>
      <c r="S51" s="657"/>
      <c r="T51" s="657"/>
      <c r="U51" s="657"/>
      <c r="W51" s="212" t="s">
        <v>53</v>
      </c>
      <c r="X51" s="291">
        <v>1.5</v>
      </c>
    </row>
    <row r="52" spans="1:25" s="16" customFormat="1" ht="15.75" thickBot="1">
      <c r="A52" s="56"/>
      <c r="B52" s="56"/>
      <c r="C52" s="56"/>
      <c r="D52" s="57"/>
      <c r="E52" s="58"/>
      <c r="F52" s="58"/>
      <c r="G52" s="57"/>
      <c r="H52" s="57"/>
      <c r="I52" s="57"/>
      <c r="J52" s="58"/>
      <c r="K52" s="59"/>
      <c r="L52" s="58"/>
      <c r="M52" s="933"/>
      <c r="N52" s="934"/>
      <c r="O52" s="934"/>
      <c r="P52" s="934"/>
      <c r="Q52" s="934"/>
      <c r="R52" s="935"/>
      <c r="S52" s="657"/>
      <c r="T52" s="657"/>
      <c r="U52" s="657"/>
      <c r="W52" s="213" t="s">
        <v>47</v>
      </c>
      <c r="X52" s="292">
        <f>0.0338</f>
        <v>3.3799999999999997E-2</v>
      </c>
    </row>
    <row r="53" spans="1:25" s="16" customFormat="1">
      <c r="A53" s="56"/>
      <c r="B53" s="56"/>
      <c r="C53" s="56"/>
      <c r="D53" s="57"/>
      <c r="E53" s="58"/>
      <c r="F53" s="58"/>
      <c r="G53" s="57"/>
      <c r="H53" s="57"/>
      <c r="I53" s="57"/>
      <c r="J53" s="58"/>
      <c r="K53" s="59"/>
      <c r="L53" s="58"/>
      <c r="M53" s="60"/>
      <c r="N53" s="123"/>
      <c r="O53" s="123"/>
      <c r="P53" s="129"/>
      <c r="Q53" s="129"/>
      <c r="R53" s="657"/>
      <c r="S53" s="657"/>
      <c r="T53" s="657"/>
      <c r="U53" s="657"/>
      <c r="W53" s="213" t="s">
        <v>48</v>
      </c>
      <c r="X53" s="214">
        <v>1.1730000000000001E-4</v>
      </c>
    </row>
    <row r="54" spans="1:25" s="16" customFormat="1" ht="15.75" thickBot="1">
      <c r="A54" s="904" t="s">
        <v>109</v>
      </c>
      <c r="B54" s="904"/>
      <c r="C54" s="904"/>
      <c r="D54" s="904"/>
      <c r="E54" s="904"/>
      <c r="F54" s="904"/>
      <c r="G54" s="904"/>
      <c r="H54" s="904"/>
      <c r="I54" s="904"/>
      <c r="J54" s="904"/>
      <c r="K54" s="904"/>
      <c r="L54" s="904"/>
      <c r="M54" s="904"/>
      <c r="N54" s="904"/>
      <c r="O54" s="904"/>
      <c r="P54" s="904"/>
      <c r="Q54" s="904"/>
      <c r="R54" s="904"/>
      <c r="S54" s="904"/>
      <c r="T54" s="904"/>
      <c r="U54" s="660"/>
      <c r="W54" s="213" t="s">
        <v>49</v>
      </c>
      <c r="X54" s="214">
        <v>7.5450000000000004E-8</v>
      </c>
    </row>
    <row r="55" spans="1:25" s="2" customFormat="1" ht="15.75" thickBot="1">
      <c r="A55" s="905" t="s">
        <v>162</v>
      </c>
      <c r="B55" s="906"/>
      <c r="C55" s="906"/>
      <c r="D55" s="232">
        <v>3.1415999999999999</v>
      </c>
      <c r="E55" s="57"/>
      <c r="F55" s="57"/>
      <c r="G55" s="57"/>
      <c r="H55" s="57"/>
      <c r="I55" s="57"/>
      <c r="J55" s="58"/>
      <c r="K55" s="59"/>
      <c r="L55" s="58"/>
      <c r="M55" s="60"/>
      <c r="N55" s="327"/>
      <c r="O55" s="327"/>
      <c r="P55" s="280"/>
      <c r="Q55" s="280"/>
      <c r="R55" s="328"/>
      <c r="S55" s="328"/>
      <c r="T55" s="328"/>
      <c r="U55" s="328"/>
      <c r="W55" s="215" t="s">
        <v>50</v>
      </c>
      <c r="X55" s="216">
        <v>7.109E-10</v>
      </c>
    </row>
    <row r="56" spans="1:25" s="2" customFormat="1" ht="15.75" thickBot="1">
      <c r="A56" s="907" t="s">
        <v>80</v>
      </c>
      <c r="B56" s="906"/>
      <c r="C56" s="906"/>
      <c r="D56" s="304">
        <v>5.6703669999999997E-8</v>
      </c>
      <c r="E56" s="57"/>
      <c r="F56" s="57"/>
      <c r="G56" s="57"/>
      <c r="H56" s="57"/>
      <c r="I56" s="57" t="s">
        <v>132</v>
      </c>
      <c r="J56" s="58"/>
      <c r="K56" s="59"/>
      <c r="L56" s="58"/>
      <c r="M56" s="60"/>
      <c r="N56" s="327"/>
      <c r="O56" s="327"/>
      <c r="P56" s="280"/>
      <c r="Q56" s="280"/>
      <c r="R56" s="328"/>
      <c r="S56" s="328"/>
      <c r="T56" s="328"/>
      <c r="U56" s="328"/>
      <c r="W56" s="197"/>
      <c r="X56" s="197"/>
    </row>
    <row r="57" spans="1:25" s="2" customFormat="1">
      <c r="A57" s="665"/>
      <c r="B57" s="89"/>
      <c r="C57" s="157"/>
      <c r="D57" s="57"/>
      <c r="E57" s="57"/>
      <c r="F57" s="56"/>
      <c r="G57" s="130"/>
      <c r="H57" s="57"/>
      <c r="I57" s="58"/>
      <c r="J57" s="59"/>
      <c r="K57" s="58"/>
      <c r="L57" s="60"/>
      <c r="M57" s="327"/>
      <c r="N57" s="666"/>
      <c r="O57" s="129"/>
      <c r="P57" s="129"/>
      <c r="Q57" s="657"/>
      <c r="R57" s="657"/>
      <c r="S57" s="657"/>
      <c r="T57" s="16"/>
      <c r="W57" s="293">
        <f>(F45+G45)/2</f>
        <v>105</v>
      </c>
      <c r="X57" s="217">
        <f>X52+X53*W57+X54*W57^2+X55*W57^3</f>
        <v>4.7771291862500002E-2</v>
      </c>
      <c r="Y57" s="217">
        <f>X57*X51</f>
        <v>7.165693779375E-2</v>
      </c>
    </row>
    <row r="58" spans="1:25" s="2" customFormat="1">
      <c r="A58" s="665"/>
      <c r="B58" s="89"/>
      <c r="C58" s="157"/>
      <c r="D58" s="57"/>
      <c r="E58" s="178"/>
      <c r="F58" s="179"/>
      <c r="G58" s="180"/>
      <c r="H58" s="57"/>
      <c r="I58" s="58"/>
      <c r="J58" s="59"/>
      <c r="K58" s="58"/>
      <c r="L58" s="60"/>
      <c r="M58" s="327"/>
      <c r="N58" s="666"/>
      <c r="O58" s="129"/>
      <c r="P58" s="129"/>
      <c r="Q58" s="657"/>
      <c r="R58" s="657"/>
      <c r="S58" s="657"/>
      <c r="T58" s="16"/>
      <c r="Y58" s="218">
        <f>Y57</f>
        <v>7.165693779375E-2</v>
      </c>
    </row>
    <row r="59" spans="1:25" s="2" customFormat="1">
      <c r="A59" s="665"/>
      <c r="B59" s="89"/>
      <c r="C59" s="168"/>
      <c r="D59" s="57"/>
      <c r="E59" s="178"/>
      <c r="F59" s="179"/>
      <c r="G59" s="180"/>
      <c r="H59" s="57"/>
      <c r="I59" s="58"/>
      <c r="J59" s="59"/>
      <c r="K59" s="58"/>
      <c r="L59" s="60"/>
      <c r="M59" s="327"/>
      <c r="N59" s="666"/>
      <c r="O59" s="129"/>
      <c r="P59" s="129"/>
      <c r="Q59" s="657"/>
      <c r="R59" s="657"/>
      <c r="S59" s="657"/>
      <c r="T59" s="16"/>
    </row>
    <row r="60" spans="1:25" s="2" customFormat="1">
      <c r="A60" s="665"/>
      <c r="B60" s="89"/>
      <c r="C60" s="168"/>
      <c r="D60" s="57"/>
      <c r="E60" s="57"/>
      <c r="F60" s="57"/>
      <c r="G60" s="180"/>
      <c r="H60" s="57"/>
      <c r="I60" s="58"/>
      <c r="J60" s="59"/>
      <c r="K60" s="58"/>
      <c r="L60" s="60"/>
      <c r="M60" s="327"/>
      <c r="N60" s="666"/>
      <c r="O60" s="129"/>
      <c r="P60" s="129"/>
      <c r="Q60" s="657"/>
      <c r="R60" s="657"/>
      <c r="S60" s="657"/>
      <c r="T60" s="16"/>
    </row>
    <row r="61" spans="1:25" customFormat="1">
      <c r="A61" s="56"/>
      <c r="B61" s="89"/>
      <c r="C61" s="168"/>
      <c r="D61" s="57"/>
      <c r="E61" s="57"/>
      <c r="F61" s="58"/>
      <c r="G61" s="59"/>
      <c r="H61" s="58"/>
      <c r="I61" s="60"/>
      <c r="J61" s="2"/>
      <c r="K61" s="2"/>
      <c r="L61" s="280"/>
      <c r="M61" s="280"/>
      <c r="N61" s="16"/>
      <c r="O61" s="980"/>
      <c r="P61" s="980"/>
      <c r="Q61" s="980"/>
      <c r="R61" s="980"/>
      <c r="S61" s="980"/>
      <c r="T61" s="980"/>
      <c r="U61" s="327"/>
      <c r="V61" s="2"/>
    </row>
    <row r="62" spans="1:25" customFormat="1" ht="15.75" thickBot="1">
      <c r="A62" s="56"/>
      <c r="B62" s="16"/>
      <c r="C62" s="129"/>
      <c r="D62" s="38"/>
      <c r="E62" s="16"/>
      <c r="F62" s="16"/>
      <c r="G62" s="16"/>
      <c r="H62" s="58"/>
      <c r="I62" s="60"/>
      <c r="J62" s="2"/>
      <c r="K62" s="2"/>
      <c r="L62" s="280"/>
      <c r="M62" s="280"/>
      <c r="N62" s="16"/>
      <c r="O62" s="966"/>
      <c r="P62" s="966"/>
      <c r="Q62" s="966"/>
      <c r="R62" s="308"/>
      <c r="S62" s="308"/>
      <c r="T62" s="16"/>
      <c r="U62" s="2"/>
      <c r="V62" s="2"/>
    </row>
    <row r="63" spans="1:25" customFormat="1" ht="15.75" thickBot="1">
      <c r="A63" s="169"/>
      <c r="B63" s="170" t="s">
        <v>136</v>
      </c>
      <c r="C63" s="155"/>
      <c r="D63" s="294">
        <v>1.6</v>
      </c>
      <c r="E63" s="16"/>
      <c r="F63" s="16"/>
      <c r="G63" s="16"/>
      <c r="H63" s="58"/>
      <c r="I63" s="60"/>
      <c r="J63" s="2"/>
      <c r="K63" s="2"/>
      <c r="L63" s="280"/>
      <c r="M63" s="280"/>
      <c r="N63" s="16"/>
      <c r="O63" s="966"/>
      <c r="P63" s="966"/>
      <c r="Q63" s="966"/>
      <c r="R63" s="308"/>
      <c r="S63" s="308"/>
      <c r="T63" s="16"/>
      <c r="U63" s="2"/>
      <c r="V63" s="2"/>
    </row>
    <row r="64" spans="1:25" customFormat="1" ht="15.75" thickBot="1">
      <c r="A64" s="169"/>
      <c r="B64" s="170" t="s">
        <v>137</v>
      </c>
      <c r="C64" s="155"/>
      <c r="D64" s="294">
        <v>2</v>
      </c>
      <c r="E64" s="16"/>
      <c r="F64" s="16"/>
      <c r="G64" s="16"/>
      <c r="H64" s="58"/>
      <c r="I64" s="60"/>
      <c r="J64" s="2"/>
      <c r="K64" s="2"/>
      <c r="L64" s="280"/>
      <c r="M64" s="280"/>
      <c r="N64" s="16"/>
      <c r="O64" s="966"/>
      <c r="P64" s="966"/>
      <c r="Q64" s="966"/>
      <c r="R64" s="308"/>
      <c r="S64" s="308"/>
      <c r="T64" s="16"/>
      <c r="U64" s="2"/>
      <c r="V64" s="2"/>
    </row>
    <row r="65" spans="1:27" customFormat="1" ht="15.75" thickBot="1">
      <c r="A65" s="967" t="s">
        <v>86</v>
      </c>
      <c r="B65" s="968"/>
      <c r="C65" s="969"/>
      <c r="D65" s="295">
        <v>55</v>
      </c>
      <c r="E65" s="171" t="s">
        <v>22</v>
      </c>
      <c r="F65" s="58"/>
      <c r="G65" s="59"/>
      <c r="H65" s="58"/>
      <c r="I65" s="60"/>
      <c r="J65" s="2"/>
      <c r="K65" s="2"/>
      <c r="L65" s="280"/>
      <c r="M65" s="280"/>
      <c r="N65" s="16"/>
      <c r="O65" s="966"/>
      <c r="P65" s="966"/>
      <c r="Q65" s="966"/>
      <c r="R65" s="339"/>
      <c r="S65" s="308"/>
      <c r="T65" s="16"/>
      <c r="U65" s="2"/>
      <c r="V65" s="2"/>
    </row>
    <row r="66" spans="1:27" customFormat="1" ht="15.75" thickBot="1">
      <c r="A66" s="984" t="s">
        <v>140</v>
      </c>
      <c r="B66" s="985"/>
      <c r="C66" s="985"/>
      <c r="D66" s="452">
        <v>55</v>
      </c>
      <c r="E66" s="132"/>
      <c r="F66" s="133"/>
      <c r="G66" s="134"/>
      <c r="H66" s="133"/>
      <c r="I66" s="60"/>
      <c r="J66" s="2"/>
      <c r="K66" s="2"/>
      <c r="L66" s="280"/>
      <c r="M66" s="280"/>
      <c r="N66" s="16"/>
      <c r="O66" s="966"/>
      <c r="P66" s="966"/>
      <c r="Q66" s="966"/>
      <c r="R66" s="657"/>
      <c r="S66" s="657"/>
      <c r="T66" s="16"/>
      <c r="U66" s="2"/>
      <c r="V66" s="2"/>
    </row>
    <row r="67" spans="1:27" customFormat="1" ht="15.75" thickBot="1">
      <c r="A67" s="977" t="s">
        <v>141</v>
      </c>
      <c r="B67" s="978"/>
      <c r="C67" s="978"/>
      <c r="D67" s="452">
        <v>35</v>
      </c>
      <c r="E67" s="132"/>
      <c r="F67" s="133"/>
      <c r="G67" s="134"/>
      <c r="H67" s="133"/>
      <c r="I67" s="60"/>
      <c r="J67" s="2"/>
      <c r="K67" s="2"/>
      <c r="L67" s="280"/>
      <c r="M67" s="280"/>
      <c r="N67" s="16"/>
      <c r="O67" s="129"/>
      <c r="P67" s="312"/>
      <c r="Q67" s="657"/>
      <c r="R67" s="657"/>
      <c r="S67" s="657"/>
      <c r="T67" s="16"/>
      <c r="U67" s="2"/>
      <c r="V67" s="2"/>
    </row>
    <row r="68" spans="1:27" ht="15.75" thickBot="1">
      <c r="A68" s="977" t="s">
        <v>79</v>
      </c>
      <c r="B68" s="978"/>
      <c r="C68" s="978"/>
      <c r="D68" s="453">
        <v>0.8</v>
      </c>
      <c r="E68" s="132"/>
      <c r="F68" s="133"/>
      <c r="G68" s="134"/>
      <c r="H68" s="133"/>
      <c r="I68" s="60"/>
      <c r="J68" s="2"/>
      <c r="K68" s="2"/>
      <c r="L68" s="280"/>
      <c r="M68" s="280"/>
      <c r="N68" s="979"/>
      <c r="O68" s="979"/>
      <c r="P68" s="16"/>
      <c r="Q68" s="16"/>
      <c r="R68" s="16"/>
      <c r="S68" s="16"/>
      <c r="Z68" s="16"/>
      <c r="AA68" s="16"/>
    </row>
    <row r="69" spans="1:27" ht="15.75" thickBot="1">
      <c r="A69" s="958" t="s">
        <v>302</v>
      </c>
      <c r="B69" s="959"/>
      <c r="C69" s="959"/>
      <c r="D69" s="420">
        <v>0.85</v>
      </c>
      <c r="E69" s="132"/>
      <c r="F69" s="133"/>
      <c r="G69" s="134"/>
      <c r="H69" s="133"/>
      <c r="I69" s="60"/>
      <c r="J69" s="2"/>
      <c r="K69" s="2"/>
      <c r="L69" s="280"/>
      <c r="M69" s="280"/>
      <c r="N69" s="665"/>
      <c r="O69" s="665"/>
      <c r="P69" s="16"/>
      <c r="Q69" s="16"/>
      <c r="R69" s="16"/>
      <c r="S69" s="16"/>
      <c r="Z69" s="16"/>
      <c r="AA69" s="16"/>
    </row>
    <row r="70" spans="1:27" ht="15.75" thickBot="1">
      <c r="A70" s="663"/>
      <c r="B70" s="664"/>
      <c r="C70" s="664"/>
      <c r="D70" s="296"/>
      <c r="E70" s="132"/>
      <c r="F70" s="133"/>
      <c r="G70" s="134"/>
      <c r="H70" s="133"/>
      <c r="I70" s="60"/>
      <c r="J70" s="2"/>
      <c r="K70" s="2"/>
      <c r="L70" s="280"/>
      <c r="M70" s="280"/>
      <c r="N70" s="665"/>
      <c r="O70" s="665"/>
      <c r="P70" s="16"/>
      <c r="Q70" s="16"/>
      <c r="R70" s="16"/>
      <c r="S70" s="16"/>
      <c r="Z70" s="16"/>
      <c r="AA70" s="16"/>
    </row>
    <row r="71" spans="1:27" ht="15.75" thickBot="1">
      <c r="A71" s="982" t="s">
        <v>153</v>
      </c>
      <c r="B71" s="983"/>
      <c r="C71" s="983"/>
      <c r="D71" s="305">
        <v>0.05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</row>
    <row r="73" spans="1:27">
      <c r="A73" s="846" t="s">
        <v>42</v>
      </c>
      <c r="B73" s="846"/>
      <c r="C73" s="846"/>
      <c r="D73" s="846"/>
      <c r="E73" s="846"/>
      <c r="F73" s="846"/>
      <c r="G73" s="846"/>
      <c r="H73" s="846"/>
      <c r="I73" s="846"/>
      <c r="J73" s="846"/>
      <c r="K73" s="846"/>
      <c r="L73" s="846"/>
      <c r="M73" s="846"/>
      <c r="N73" s="846"/>
      <c r="O73" s="846"/>
      <c r="P73" s="846"/>
      <c r="Q73" s="846"/>
      <c r="R73" s="846"/>
      <c r="S73" s="846"/>
      <c r="T73" s="846"/>
      <c r="U73" s="659"/>
    </row>
    <row r="74" spans="1:27">
      <c r="A74" s="17" t="s">
        <v>157</v>
      </c>
      <c r="J74" s="17" t="s">
        <v>156</v>
      </c>
    </row>
    <row r="83" spans="1:2">
      <c r="A83" s="277" t="s">
        <v>158</v>
      </c>
      <c r="B83" s="277" t="s">
        <v>46</v>
      </c>
    </row>
    <row r="84" spans="1:2">
      <c r="A84" s="278">
        <v>10</v>
      </c>
      <c r="B84" s="279">
        <v>1.7999999999999999E-2</v>
      </c>
    </row>
    <row r="85" spans="1:2">
      <c r="A85" s="278">
        <v>15</v>
      </c>
      <c r="B85" s="279">
        <v>2.1999999999999999E-2</v>
      </c>
    </row>
    <row r="86" spans="1:2">
      <c r="A86" s="278">
        <v>20</v>
      </c>
      <c r="B86" s="279">
        <v>2.7E-2</v>
      </c>
    </row>
    <row r="87" spans="1:2">
      <c r="A87" s="278">
        <v>25</v>
      </c>
      <c r="B87" s="279">
        <v>3.4000000000000002E-2</v>
      </c>
    </row>
    <row r="88" spans="1:2">
      <c r="A88" s="278">
        <v>32</v>
      </c>
      <c r="B88" s="279">
        <v>4.2999999999999997E-2</v>
      </c>
    </row>
    <row r="89" spans="1:2">
      <c r="A89" s="278">
        <v>40</v>
      </c>
      <c r="B89" s="279">
        <v>4.9000000000000002E-2</v>
      </c>
    </row>
    <row r="90" spans="1:2">
      <c r="A90" s="278">
        <v>50</v>
      </c>
      <c r="B90" s="279">
        <v>6.0999999999999999E-2</v>
      </c>
    </row>
    <row r="91" spans="1:2">
      <c r="A91" s="278">
        <v>60</v>
      </c>
      <c r="B91" s="279">
        <v>7.1999999999999995E-2</v>
      </c>
    </row>
    <row r="92" spans="1:2">
      <c r="A92" s="278">
        <v>65</v>
      </c>
      <c r="B92" s="279">
        <v>7.6999999999999999E-2</v>
      </c>
    </row>
    <row r="93" spans="1:2">
      <c r="A93" s="278">
        <v>80</v>
      </c>
      <c r="B93" s="279">
        <v>8.8999999999999996E-2</v>
      </c>
    </row>
    <row r="94" spans="1:2">
      <c r="A94" s="278">
        <v>100</v>
      </c>
      <c r="B94" s="279">
        <v>0.115</v>
      </c>
    </row>
    <row r="95" spans="1:2">
      <c r="A95" s="278">
        <v>125</v>
      </c>
      <c r="B95" s="279">
        <v>0.14099999999999999</v>
      </c>
    </row>
    <row r="96" spans="1:2">
      <c r="A96" s="278">
        <v>150</v>
      </c>
      <c r="B96" s="279">
        <v>0.16900000000000001</v>
      </c>
    </row>
    <row r="97" spans="1:2">
      <c r="A97" s="278">
        <v>200</v>
      </c>
      <c r="B97" s="279">
        <v>0.22</v>
      </c>
    </row>
    <row r="98" spans="1:2">
      <c r="A98" s="278">
        <v>250</v>
      </c>
      <c r="B98" s="279">
        <v>0.27300000000000002</v>
      </c>
    </row>
    <row r="99" spans="1:2">
      <c r="A99" s="278">
        <v>300</v>
      </c>
      <c r="B99" s="279">
        <v>0.32400000000000001</v>
      </c>
    </row>
    <row r="100" spans="1:2">
      <c r="A100" s="278">
        <v>350</v>
      </c>
      <c r="B100" s="279">
        <v>0.35599999999999998</v>
      </c>
    </row>
    <row r="101" spans="1:2">
      <c r="A101" s="278">
        <v>400</v>
      </c>
      <c r="B101" s="279">
        <v>0.40699999999999997</v>
      </c>
    </row>
    <row r="102" spans="1:2">
      <c r="A102" s="278">
        <v>450</v>
      </c>
      <c r="B102" s="279">
        <v>0.45800000000000002</v>
      </c>
    </row>
    <row r="103" spans="1:2">
      <c r="A103" s="278">
        <v>500</v>
      </c>
      <c r="B103" s="279">
        <v>0.50800000000000001</v>
      </c>
    </row>
    <row r="104" spans="1:2">
      <c r="A104" s="278">
        <v>600</v>
      </c>
      <c r="B104" s="279">
        <v>0.61</v>
      </c>
    </row>
    <row r="105" spans="1:2">
      <c r="A105" s="278">
        <v>700</v>
      </c>
      <c r="B105" s="279">
        <v>0.71199999999999997</v>
      </c>
    </row>
    <row r="106" spans="1:2">
      <c r="A106" s="278">
        <v>800</v>
      </c>
      <c r="B106" s="279">
        <v>0.81299999999999994</v>
      </c>
    </row>
    <row r="107" spans="1:2">
      <c r="A107" s="278">
        <v>900</v>
      </c>
      <c r="B107" s="279">
        <v>0.91500000000000004</v>
      </c>
    </row>
    <row r="108" spans="1:2">
      <c r="A108" s="278">
        <v>1000</v>
      </c>
      <c r="B108" s="279">
        <v>1.016</v>
      </c>
    </row>
    <row r="109" spans="1:2">
      <c r="A109" s="278">
        <v>1100</v>
      </c>
      <c r="B109" s="279">
        <v>1.1200000000000001</v>
      </c>
    </row>
    <row r="110" spans="1:2">
      <c r="A110" s="278">
        <v>1200</v>
      </c>
      <c r="B110" s="279">
        <v>1.22</v>
      </c>
    </row>
    <row r="111" spans="1:2">
      <c r="A111" s="278">
        <v>1400</v>
      </c>
      <c r="B111" s="279">
        <v>1.42</v>
      </c>
    </row>
    <row r="112" spans="1:2">
      <c r="A112" s="278">
        <v>1500</v>
      </c>
      <c r="B112" s="279">
        <v>1.52</v>
      </c>
    </row>
    <row r="113" spans="1:22">
      <c r="A113" s="278">
        <v>1600</v>
      </c>
      <c r="B113" s="279">
        <v>1.62</v>
      </c>
    </row>
    <row r="114" spans="1:22">
      <c r="A114" s="278">
        <v>1800</v>
      </c>
      <c r="B114" s="279">
        <v>1.82</v>
      </c>
    </row>
    <row r="115" spans="1:22">
      <c r="A115" s="278">
        <v>2000</v>
      </c>
      <c r="B115" s="279">
        <v>2.02</v>
      </c>
    </row>
    <row r="116" spans="1:22">
      <c r="A116" s="278">
        <v>2000</v>
      </c>
      <c r="B116" s="279">
        <v>2.02</v>
      </c>
    </row>
    <row r="117" spans="1:22">
      <c r="A117" s="278">
        <v>2200</v>
      </c>
      <c r="B117" s="279">
        <v>2.2200000000000002</v>
      </c>
    </row>
    <row r="118" spans="1:22">
      <c r="A118" s="278">
        <v>2400</v>
      </c>
      <c r="B118" s="279">
        <v>2.42</v>
      </c>
    </row>
    <row r="119" spans="1:22">
      <c r="A119" s="278">
        <v>2600</v>
      </c>
      <c r="B119" s="279">
        <v>2.62</v>
      </c>
    </row>
    <row r="120" spans="1:22">
      <c r="A120" s="278">
        <v>2800</v>
      </c>
      <c r="B120" s="279">
        <v>2.82</v>
      </c>
    </row>
    <row r="121" spans="1:22">
      <c r="A121" s="278">
        <v>3000</v>
      </c>
      <c r="B121" s="279">
        <v>3.02</v>
      </c>
    </row>
    <row r="122" spans="1:22">
      <c r="A122" s="278">
        <v>3200</v>
      </c>
      <c r="B122" s="279">
        <v>3.22</v>
      </c>
    </row>
    <row r="123" spans="1:22">
      <c r="A123" s="278">
        <v>3400</v>
      </c>
      <c r="B123" s="279">
        <v>3.42</v>
      </c>
    </row>
    <row r="127" spans="1:22" ht="60.75" thickBot="1">
      <c r="A127" s="802" t="s">
        <v>5</v>
      </c>
      <c r="B127" s="803"/>
      <c r="C127" s="662" t="s">
        <v>158</v>
      </c>
      <c r="D127" s="662" t="s">
        <v>102</v>
      </c>
      <c r="E127" s="662" t="s">
        <v>103</v>
      </c>
      <c r="F127" s="82" t="s">
        <v>40</v>
      </c>
      <c r="G127" s="82" t="s">
        <v>29</v>
      </c>
      <c r="H127" s="82" t="s">
        <v>30</v>
      </c>
      <c r="I127" s="84" t="s">
        <v>78</v>
      </c>
      <c r="J127" s="82" t="s">
        <v>59</v>
      </c>
      <c r="K127" s="82" t="s">
        <v>58</v>
      </c>
      <c r="L127" s="83" t="s">
        <v>13</v>
      </c>
      <c r="M127" s="112" t="s">
        <v>106</v>
      </c>
      <c r="N127" s="83" t="s">
        <v>152</v>
      </c>
      <c r="O127" s="83" t="s">
        <v>105</v>
      </c>
      <c r="P127" s="83" t="s">
        <v>26</v>
      </c>
      <c r="Q127" s="113" t="s">
        <v>107</v>
      </c>
      <c r="R127" s="78" t="s">
        <v>139</v>
      </c>
      <c r="S127" s="80" t="s">
        <v>84</v>
      </c>
      <c r="T127" s="80" t="s">
        <v>85</v>
      </c>
      <c r="U127" s="80"/>
      <c r="V127" s="80"/>
    </row>
    <row r="128" spans="1:22" ht="15.75" thickBot="1">
      <c r="A128" s="971"/>
      <c r="B128" s="972"/>
      <c r="C128" s="661"/>
      <c r="D128" s="226"/>
      <c r="E128" s="661"/>
      <c r="F128" s="661"/>
      <c r="G128" s="224"/>
      <c r="H128" s="224"/>
      <c r="I128" s="228"/>
      <c r="J128" s="224"/>
      <c r="K128" s="228"/>
      <c r="L128" s="510">
        <v>1</v>
      </c>
      <c r="M128" s="511">
        <v>32</v>
      </c>
      <c r="N128" s="510">
        <v>33</v>
      </c>
      <c r="O128" s="510">
        <v>34</v>
      </c>
      <c r="P128" s="510">
        <f>IF(M128&lt;10,N128+L128,O128+L128)</f>
        <v>35</v>
      </c>
      <c r="Q128" s="510">
        <v>42</v>
      </c>
      <c r="R128" s="510">
        <v>43</v>
      </c>
      <c r="S128" s="513">
        <v>44</v>
      </c>
      <c r="T128" s="513">
        <v>6</v>
      </c>
      <c r="U128" s="61"/>
      <c r="V128" s="61"/>
    </row>
    <row r="129" spans="1:22" ht="15.75" thickBot="1">
      <c r="A129" s="971" t="s">
        <v>290</v>
      </c>
      <c r="B129" s="972"/>
      <c r="C129" s="661"/>
      <c r="D129" s="226"/>
      <c r="E129" s="661"/>
      <c r="F129" s="661"/>
      <c r="G129" s="418" t="s">
        <v>368</v>
      </c>
      <c r="H129" s="418" t="s">
        <v>368</v>
      </c>
      <c r="I129" s="228"/>
      <c r="J129" s="224"/>
      <c r="K129" s="228"/>
      <c r="L129" s="510">
        <v>1</v>
      </c>
      <c r="M129" s="511">
        <v>32</v>
      </c>
      <c r="N129" s="510">
        <v>33</v>
      </c>
      <c r="O129" s="510">
        <v>34</v>
      </c>
      <c r="P129" s="510">
        <f>IF(M129&lt;10,N129+L129,O129+L129)</f>
        <v>35</v>
      </c>
      <c r="Q129" s="510">
        <v>42</v>
      </c>
      <c r="R129" s="510">
        <v>43</v>
      </c>
      <c r="S129" s="513">
        <v>44</v>
      </c>
      <c r="T129" s="513">
        <v>6</v>
      </c>
      <c r="U129" s="79"/>
      <c r="V129" s="79"/>
    </row>
    <row r="130" spans="1:22" ht="18.75">
      <c r="A130" s="971" t="s">
        <v>291</v>
      </c>
      <c r="B130" s="972"/>
      <c r="C130" s="661"/>
      <c r="D130" s="226"/>
      <c r="E130" s="661"/>
      <c r="F130" s="661"/>
      <c r="G130" s="661"/>
      <c r="H130" s="661"/>
      <c r="I130" s="228"/>
      <c r="J130" s="224"/>
      <c r="K130" s="228"/>
      <c r="L130" s="510">
        <v>1</v>
      </c>
      <c r="M130" s="511">
        <v>32</v>
      </c>
      <c r="N130" s="510">
        <v>33</v>
      </c>
      <c r="O130" s="510">
        <v>34</v>
      </c>
      <c r="P130" s="510">
        <f>IF(M130&lt;10,N130+L130,O130+L130)</f>
        <v>35</v>
      </c>
      <c r="Q130" s="510">
        <v>42</v>
      </c>
      <c r="R130" s="418" t="s">
        <v>368</v>
      </c>
      <c r="S130" s="513">
        <v>44</v>
      </c>
      <c r="T130" s="513">
        <v>6</v>
      </c>
      <c r="U130" s="186" t="s">
        <v>61</v>
      </c>
      <c r="V130" s="187" t="s">
        <v>23</v>
      </c>
    </row>
    <row r="131" spans="1:22">
      <c r="A131" s="56"/>
      <c r="B131" s="56"/>
      <c r="C131" s="56"/>
      <c r="D131" s="56"/>
      <c r="E131" s="182"/>
      <c r="F131" s="182"/>
      <c r="G131" s="57"/>
      <c r="H131" s="57"/>
      <c r="I131" s="57"/>
      <c r="J131" s="58"/>
      <c r="K131" s="59"/>
      <c r="L131" s="59"/>
      <c r="M131" s="58"/>
      <c r="N131" s="208"/>
      <c r="O131" s="209"/>
      <c r="P131" s="209"/>
      <c r="Q131" s="210"/>
      <c r="R131" s="211"/>
      <c r="S131" s="657"/>
      <c r="T131" s="657"/>
      <c r="U131" s="507">
        <v>26</v>
      </c>
      <c r="V131" s="507">
        <v>28</v>
      </c>
    </row>
    <row r="132" spans="1:22" ht="15.75" thickBot="1">
      <c r="A132" s="56"/>
      <c r="B132" s="56"/>
      <c r="C132" s="57"/>
      <c r="D132" s="57"/>
      <c r="E132" s="183"/>
      <c r="F132" s="59"/>
      <c r="G132" s="57"/>
      <c r="H132" s="57"/>
      <c r="I132" s="57"/>
      <c r="J132" s="58"/>
      <c r="K132" s="59"/>
      <c r="L132" s="58"/>
      <c r="M132" s="60"/>
      <c r="N132" s="123"/>
      <c r="O132" s="123"/>
      <c r="P132" s="129"/>
      <c r="Q132" s="129"/>
      <c r="R132" s="657"/>
      <c r="S132" s="657"/>
      <c r="T132" s="657"/>
      <c r="U132" s="507">
        <v>27</v>
      </c>
      <c r="V132" s="507">
        <v>29</v>
      </c>
    </row>
    <row r="133" spans="1:22">
      <c r="A133" s="56"/>
      <c r="B133" s="56"/>
      <c r="C133" s="56"/>
      <c r="D133" s="57"/>
      <c r="E133" s="58"/>
      <c r="F133" s="58"/>
      <c r="G133" s="57"/>
      <c r="H133" s="57"/>
      <c r="I133" s="57"/>
      <c r="J133" s="58"/>
      <c r="K133" s="59"/>
      <c r="L133" s="58"/>
      <c r="M133" s="927">
        <v>49</v>
      </c>
      <c r="N133" s="928"/>
      <c r="O133" s="928"/>
      <c r="P133" s="928"/>
      <c r="Q133" s="928"/>
      <c r="R133" s="929"/>
      <c r="S133" s="657"/>
      <c r="T133" s="657"/>
      <c r="U133" s="657"/>
    </row>
    <row r="134" spans="1:22">
      <c r="A134" s="56"/>
      <c r="B134" s="56"/>
      <c r="C134" s="56"/>
      <c r="D134" s="57"/>
      <c r="E134" s="60"/>
      <c r="G134" s="57"/>
      <c r="H134" s="57"/>
      <c r="I134" s="57"/>
      <c r="J134" s="58"/>
      <c r="K134" s="59"/>
      <c r="L134" s="58"/>
      <c r="M134" s="930"/>
      <c r="N134" s="931"/>
      <c r="O134" s="931"/>
      <c r="P134" s="931"/>
      <c r="Q134" s="931"/>
      <c r="R134" s="932"/>
      <c r="S134" s="657"/>
      <c r="T134" s="657"/>
      <c r="U134" s="657"/>
    </row>
    <row r="135" spans="1:22" ht="15.75" thickBot="1">
      <c r="A135" s="56"/>
      <c r="B135" s="56"/>
      <c r="C135" s="56"/>
      <c r="D135" s="57"/>
      <c r="E135" s="58"/>
      <c r="F135" s="58"/>
      <c r="G135" s="57"/>
      <c r="H135" s="57"/>
      <c r="I135" s="57"/>
      <c r="J135" s="58"/>
      <c r="K135" s="59"/>
      <c r="L135" s="58"/>
      <c r="M135" s="933"/>
      <c r="N135" s="934"/>
      <c r="O135" s="934"/>
      <c r="P135" s="934"/>
      <c r="Q135" s="934"/>
      <c r="R135" s="935"/>
      <c r="S135" s="657"/>
      <c r="T135" s="657"/>
      <c r="U135" s="657"/>
    </row>
    <row r="136" spans="1:22">
      <c r="A136" s="56"/>
      <c r="B136" s="56"/>
      <c r="C136" s="56"/>
      <c r="D136" s="57"/>
      <c r="E136" s="58"/>
      <c r="F136" s="58"/>
      <c r="G136" s="57"/>
      <c r="H136" s="57"/>
      <c r="I136" s="57"/>
      <c r="J136" s="58"/>
      <c r="K136" s="59"/>
      <c r="L136" s="58"/>
      <c r="M136" s="60"/>
      <c r="N136" s="123"/>
      <c r="O136" s="123"/>
      <c r="P136" s="129"/>
      <c r="Q136" s="129"/>
      <c r="R136" s="657"/>
      <c r="S136" s="657"/>
      <c r="T136" s="657"/>
      <c r="U136" s="657"/>
    </row>
  </sheetData>
  <mergeCells count="63">
    <mergeCell ref="A128:B128"/>
    <mergeCell ref="A129:B129"/>
    <mergeCell ref="A130:B130"/>
    <mergeCell ref="M133:R135"/>
    <mergeCell ref="A68:C68"/>
    <mergeCell ref="N68:O68"/>
    <mergeCell ref="A69:C69"/>
    <mergeCell ref="A71:C71"/>
    <mergeCell ref="A73:T73"/>
    <mergeCell ref="A127:B127"/>
    <mergeCell ref="A67:C67"/>
    <mergeCell ref="A54:T54"/>
    <mergeCell ref="A55:C55"/>
    <mergeCell ref="A56:C56"/>
    <mergeCell ref="O61:T61"/>
    <mergeCell ref="O62:Q62"/>
    <mergeCell ref="O63:Q63"/>
    <mergeCell ref="O64:Q64"/>
    <mergeCell ref="A65:C65"/>
    <mergeCell ref="O65:Q65"/>
    <mergeCell ref="A66:C66"/>
    <mergeCell ref="O66:Q66"/>
    <mergeCell ref="A44:B44"/>
    <mergeCell ref="A45:B45"/>
    <mergeCell ref="A46:B46"/>
    <mergeCell ref="A47:B47"/>
    <mergeCell ref="M50:R52"/>
    <mergeCell ref="M18:N21"/>
    <mergeCell ref="O18:O19"/>
    <mergeCell ref="P18:P19"/>
    <mergeCell ref="W50:X50"/>
    <mergeCell ref="C25:E26"/>
    <mergeCell ref="F25:G26"/>
    <mergeCell ref="H25:H26"/>
    <mergeCell ref="M25:P27"/>
    <mergeCell ref="S43:T43"/>
    <mergeCell ref="U43:V43"/>
    <mergeCell ref="C21:E22"/>
    <mergeCell ref="F21:G22"/>
    <mergeCell ref="H21:H22"/>
    <mergeCell ref="C17:E18"/>
    <mergeCell ref="F17:G18"/>
    <mergeCell ref="Q14:R15"/>
    <mergeCell ref="O16:P17"/>
    <mergeCell ref="Q16:R17"/>
    <mergeCell ref="Q18:R19"/>
    <mergeCell ref="O20:O21"/>
    <mergeCell ref="P20:P21"/>
    <mergeCell ref="Q20:R21"/>
    <mergeCell ref="P8:P9"/>
    <mergeCell ref="K13:K14"/>
    <mergeCell ref="C5:E6"/>
    <mergeCell ref="K5:M6"/>
    <mergeCell ref="N5:O6"/>
    <mergeCell ref="K8:M9"/>
    <mergeCell ref="N8:O9"/>
    <mergeCell ref="C13:C14"/>
    <mergeCell ref="D13:E14"/>
    <mergeCell ref="F13:F14"/>
    <mergeCell ref="G13:H14"/>
    <mergeCell ref="I13:J14"/>
    <mergeCell ref="M14:N17"/>
    <mergeCell ref="O14:P15"/>
  </mergeCells>
  <conditionalFormatting sqref="F25:G26">
    <cfRule type="cellIs" dxfId="3" priority="1" operator="greaterThan">
      <formula>55</formula>
    </cfRule>
  </conditionalFormatting>
  <dataValidations count="1">
    <dataValidation type="list" allowBlank="1" showInputMessage="1" showErrorMessage="1" promptTitle="Select a value " sqref="F17">
      <formula1>emissivity</formula1>
    </dataValidation>
  </dataValidations>
  <pageMargins left="0.7" right="0.7" top="0.75" bottom="0.75" header="0.3" footer="0.3"/>
  <drawing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2B51E9-8C73-45E5-9F13-6E9D952BC381}">
          <x14:formula1>
            <xm:f>'Default values '!$C$2:$C$10</xm:f>
          </x14:formula1>
          <xm:sqref>N5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>
  <dimension ref="A1:Z106"/>
  <sheetViews>
    <sheetView workbookViewId="0">
      <selection activeCell="R58" sqref="R58"/>
    </sheetView>
  </sheetViews>
  <sheetFormatPr baseColWidth="10" defaultColWidth="8.85546875" defaultRowHeight="15"/>
  <cols>
    <col min="1" max="2" width="5.28515625" style="17" customWidth="1"/>
    <col min="3" max="3" width="13" style="17" customWidth="1"/>
    <col min="4" max="4" width="8.7109375" style="17" customWidth="1"/>
    <col min="5" max="5" width="6.28515625" style="17" customWidth="1"/>
    <col min="6" max="6" width="7.7109375" style="17" customWidth="1"/>
    <col min="7" max="11" width="8.7109375" style="17" customWidth="1"/>
    <col min="12" max="12" width="6.85546875" style="17" customWidth="1"/>
    <col min="13" max="13" width="11.28515625" style="17" customWidth="1"/>
    <col min="14" max="14" width="8.7109375" style="17" customWidth="1"/>
    <col min="15" max="15" width="11" style="17" customWidth="1"/>
    <col min="16" max="17" width="8.7109375" style="17" customWidth="1"/>
    <col min="18" max="19" width="5.7109375" style="17" customWidth="1"/>
    <col min="20" max="20" width="12" style="16" bestFit="1" customWidth="1"/>
    <col min="21" max="26" width="8.85546875" style="16"/>
    <col min="27" max="16384" width="8.85546875" style="17"/>
  </cols>
  <sheetData>
    <row r="1" spans="1:26" ht="15" customHeight="1">
      <c r="A1" s="317"/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</row>
    <row r="2" spans="1:26" ht="15" customHeight="1">
      <c r="A2" s="317"/>
      <c r="B2" s="15"/>
      <c r="C2" s="15"/>
      <c r="D2" s="15"/>
      <c r="E2" s="15"/>
      <c r="F2" s="15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  <c r="R2" s="317"/>
      <c r="S2" s="317"/>
    </row>
    <row r="3" spans="1:26" ht="7.9" customHeight="1">
      <c r="A3" s="317"/>
      <c r="B3" s="21"/>
      <c r="C3" s="21"/>
      <c r="D3" s="21"/>
      <c r="E3" s="21"/>
      <c r="F3" s="21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317"/>
    </row>
    <row r="4" spans="1:26" ht="5.45" customHeight="1">
      <c r="A4" s="317"/>
      <c r="B4" s="317"/>
      <c r="C4" s="317"/>
      <c r="D4" s="317"/>
      <c r="E4" s="317"/>
      <c r="F4" s="317"/>
      <c r="G4" s="317"/>
      <c r="H4" s="317"/>
      <c r="I4" s="317"/>
      <c r="J4" s="317"/>
      <c r="K4" s="317"/>
      <c r="L4" s="317"/>
      <c r="M4" s="317"/>
      <c r="N4" s="317"/>
      <c r="O4" s="317"/>
      <c r="P4" s="317"/>
      <c r="Q4" s="317"/>
      <c r="R4" s="317"/>
      <c r="S4" s="317"/>
      <c r="T4" s="24"/>
    </row>
    <row r="5" spans="1:26" s="23" customFormat="1" ht="15" customHeight="1">
      <c r="A5" s="26"/>
      <c r="B5" s="28"/>
      <c r="C5" s="797" t="s">
        <v>15</v>
      </c>
      <c r="D5" s="797"/>
      <c r="E5" s="797"/>
      <c r="F5" s="32" t="s">
        <v>37</v>
      </c>
      <c r="G5" s="275" t="s">
        <v>98</v>
      </c>
      <c r="H5" s="275"/>
      <c r="I5" s="275"/>
      <c r="J5" s="275"/>
      <c r="K5" s="799" t="s">
        <v>14</v>
      </c>
      <c r="L5" s="799"/>
      <c r="M5" s="799"/>
      <c r="N5" s="838" t="s">
        <v>21</v>
      </c>
      <c r="O5" s="838"/>
      <c r="P5" s="32">
        <f>VLOOKUP(N5,'Default values '!C2:D10,2,TRUE)</f>
        <v>6000</v>
      </c>
      <c r="Q5" s="28"/>
      <c r="R5" s="28"/>
      <c r="S5" s="28"/>
      <c r="T5" s="25"/>
      <c r="U5" s="22"/>
      <c r="V5" s="22"/>
      <c r="W5" s="22"/>
      <c r="X5" s="22"/>
      <c r="Y5" s="22"/>
      <c r="Z5" s="22"/>
    </row>
    <row r="6" spans="1:26" ht="15" customHeight="1">
      <c r="A6" s="317"/>
      <c r="B6" s="14"/>
      <c r="C6" s="797"/>
      <c r="D6" s="797"/>
      <c r="E6" s="797"/>
      <c r="F6" s="32"/>
      <c r="G6" s="276"/>
      <c r="H6" s="276"/>
      <c r="I6" s="276"/>
      <c r="J6" s="276"/>
      <c r="K6" s="799"/>
      <c r="L6" s="799"/>
      <c r="M6" s="799"/>
      <c r="N6" s="838"/>
      <c r="O6" s="838"/>
      <c r="P6" s="14"/>
      <c r="Q6" s="14"/>
      <c r="R6" s="14"/>
      <c r="S6" s="14"/>
    </row>
    <row r="7" spans="1:26" ht="15" customHeight="1">
      <c r="A7" s="317"/>
      <c r="B7" s="14"/>
      <c r="C7" s="318"/>
      <c r="D7" s="318"/>
      <c r="E7" s="318"/>
      <c r="F7" s="42"/>
      <c r="G7" s="276"/>
      <c r="H7" s="276"/>
      <c r="I7" s="276"/>
      <c r="J7" s="276"/>
      <c r="K7" s="14"/>
      <c r="L7" s="14"/>
      <c r="M7" s="14"/>
      <c r="N7" s="14"/>
      <c r="O7" s="14"/>
      <c r="P7" s="14"/>
      <c r="Q7" s="14"/>
      <c r="R7" s="14"/>
      <c r="S7" s="14"/>
    </row>
    <row r="8" spans="1:26" ht="15" customHeight="1">
      <c r="A8" s="317"/>
      <c r="B8" s="14"/>
      <c r="C8" s="318"/>
      <c r="D8" s="318"/>
      <c r="E8" s="318"/>
      <c r="F8" s="42"/>
      <c r="G8" s="276"/>
      <c r="H8" s="276"/>
      <c r="I8" s="276"/>
      <c r="J8" s="276"/>
      <c r="K8" s="799" t="s">
        <v>39</v>
      </c>
      <c r="L8" s="799"/>
      <c r="M8" s="799"/>
      <c r="N8" s="850">
        <v>600</v>
      </c>
      <c r="O8" s="850"/>
      <c r="P8" s="793" t="s">
        <v>22</v>
      </c>
      <c r="Q8" s="14"/>
      <c r="R8" s="14"/>
      <c r="S8" s="14"/>
    </row>
    <row r="9" spans="1:26" s="23" customFormat="1" ht="15" customHeight="1">
      <c r="A9" s="317"/>
      <c r="B9" s="14"/>
      <c r="C9" s="318"/>
      <c r="D9" s="318"/>
      <c r="E9" s="318"/>
      <c r="F9" s="42"/>
      <c r="G9" s="276"/>
      <c r="H9" s="276"/>
      <c r="I9" s="276"/>
      <c r="J9" s="276"/>
      <c r="K9" s="799"/>
      <c r="L9" s="799"/>
      <c r="M9" s="799"/>
      <c r="N9" s="850"/>
      <c r="O9" s="850"/>
      <c r="P9" s="793"/>
      <c r="Q9" s="26"/>
      <c r="R9" s="26"/>
      <c r="S9" s="26"/>
      <c r="T9" s="22"/>
      <c r="U9" s="22"/>
      <c r="V9" s="16"/>
      <c r="W9" s="22"/>
      <c r="X9" s="22"/>
      <c r="Y9" s="22"/>
      <c r="Z9" s="22"/>
    </row>
    <row r="10" spans="1:26" ht="15" customHeight="1">
      <c r="A10" s="317"/>
      <c r="B10" s="14"/>
      <c r="C10" s="318"/>
      <c r="D10" s="318"/>
      <c r="E10" s="318"/>
      <c r="F10" s="42"/>
      <c r="G10" s="42"/>
      <c r="H10" s="42"/>
      <c r="I10" s="317"/>
      <c r="J10" s="317"/>
      <c r="K10" s="317"/>
      <c r="L10" s="317"/>
      <c r="M10" s="317"/>
      <c r="N10" s="317"/>
      <c r="O10" s="317"/>
      <c r="P10" s="317"/>
      <c r="Q10" s="317"/>
      <c r="R10" s="317"/>
      <c r="S10" s="317"/>
    </row>
    <row r="11" spans="1:26" ht="15" customHeight="1" thickBot="1">
      <c r="A11" s="317"/>
      <c r="B11" s="14"/>
      <c r="C11" s="14"/>
      <c r="D11" s="14"/>
      <c r="E11" s="14"/>
      <c r="F11" s="14"/>
      <c r="G11" s="14"/>
      <c r="H11" s="14"/>
      <c r="I11" s="317"/>
      <c r="J11" s="317"/>
      <c r="K11" s="317"/>
      <c r="L11" s="317"/>
      <c r="M11" s="317"/>
      <c r="N11" s="317"/>
      <c r="O11" s="317"/>
      <c r="P11" s="317"/>
      <c r="Q11" s="317"/>
      <c r="R11" s="317"/>
      <c r="S11" s="317"/>
    </row>
    <row r="12" spans="1:26" ht="15" customHeight="1" thickTop="1">
      <c r="A12" s="317"/>
      <c r="B12" s="29"/>
      <c r="C12" s="30"/>
      <c r="D12" s="30"/>
      <c r="E12" s="30"/>
      <c r="F12" s="30"/>
      <c r="G12" s="30"/>
      <c r="H12" s="30"/>
      <c r="I12" s="6"/>
      <c r="J12" s="6"/>
      <c r="K12" s="48"/>
      <c r="L12" s="317"/>
      <c r="M12" s="15"/>
      <c r="N12" s="15"/>
      <c r="O12" s="15"/>
      <c r="P12" s="15"/>
      <c r="Q12" s="15"/>
      <c r="R12" s="15"/>
      <c r="S12" s="317"/>
    </row>
    <row r="13" spans="1:26" s="23" customFormat="1" ht="15" customHeight="1">
      <c r="A13" s="26"/>
      <c r="B13" s="31"/>
      <c r="C13" s="793"/>
      <c r="D13" s="793"/>
      <c r="E13" s="793"/>
      <c r="F13" s="988">
        <v>1</v>
      </c>
      <c r="G13" s="988"/>
      <c r="H13" s="793"/>
      <c r="I13" s="26"/>
      <c r="J13" s="26"/>
      <c r="K13" s="46"/>
      <c r="L13" s="26"/>
      <c r="M13" s="41"/>
      <c r="N13" s="41"/>
      <c r="O13" s="41"/>
      <c r="P13" s="41"/>
      <c r="Q13" s="41"/>
      <c r="R13" s="41"/>
      <c r="S13" s="26"/>
      <c r="T13" s="22"/>
      <c r="U13" s="22"/>
      <c r="V13" s="22"/>
      <c r="W13" s="22"/>
      <c r="X13" s="22"/>
      <c r="Y13" s="22"/>
      <c r="Z13" s="22"/>
    </row>
    <row r="14" spans="1:26" ht="15" customHeight="1">
      <c r="A14" s="317"/>
      <c r="B14" s="8"/>
      <c r="C14" s="793"/>
      <c r="D14" s="793"/>
      <c r="E14" s="793"/>
      <c r="F14" s="988"/>
      <c r="G14" s="988"/>
      <c r="H14" s="793"/>
      <c r="I14" s="15"/>
      <c r="J14" s="26"/>
      <c r="K14" s="46"/>
      <c r="L14" s="26"/>
      <c r="M14" s="851" t="str">
        <f>IF(O14="","","Heat loss")</f>
        <v>Heat loss</v>
      </c>
      <c r="N14" s="851"/>
      <c r="O14" s="939">
        <f>IF(F25=0,"",N45)</f>
        <v>1772.9872481185853</v>
      </c>
      <c r="P14" s="939"/>
      <c r="Q14" s="940" t="str">
        <f>IF(O14="","","kWh/m²/a")</f>
        <v>kWh/m²/a</v>
      </c>
      <c r="R14" s="940"/>
      <c r="S14" s="317"/>
    </row>
    <row r="15" spans="1:26" ht="15" customHeight="1">
      <c r="A15" s="317"/>
      <c r="B15" s="8"/>
      <c r="C15" s="317"/>
      <c r="D15" s="317"/>
      <c r="E15" s="317"/>
      <c r="F15" s="33"/>
      <c r="G15" s="33"/>
      <c r="H15" s="317"/>
      <c r="I15" s="15"/>
      <c r="J15" s="15"/>
      <c r="K15" s="40"/>
      <c r="L15" s="15"/>
      <c r="M15" s="851"/>
      <c r="N15" s="851"/>
      <c r="O15" s="939"/>
      <c r="P15" s="939"/>
      <c r="Q15" s="940"/>
      <c r="R15" s="940"/>
      <c r="S15" s="317"/>
    </row>
    <row r="16" spans="1:26" ht="15" customHeight="1">
      <c r="A16" s="317"/>
      <c r="B16" s="8"/>
      <c r="C16" s="317"/>
      <c r="D16" s="317"/>
      <c r="E16" s="317"/>
      <c r="F16" s="33"/>
      <c r="G16" s="33"/>
      <c r="H16" s="317"/>
      <c r="I16" s="27"/>
      <c r="J16" s="27"/>
      <c r="K16" s="40"/>
      <c r="L16" s="27"/>
      <c r="M16" s="851"/>
      <c r="N16" s="851"/>
      <c r="O16" s="941">
        <f>IF(F25=0,"",O45)</f>
        <v>63.827540932269066</v>
      </c>
      <c r="P16" s="941"/>
      <c r="Q16" s="942" t="str">
        <f>IF(F25="","","€/m²/a")</f>
        <v>€/m²/a</v>
      </c>
      <c r="R16" s="942"/>
      <c r="S16" s="317"/>
    </row>
    <row r="17" spans="1:26" s="23" customFormat="1" ht="15" customHeight="1">
      <c r="A17" s="26"/>
      <c r="B17" s="31"/>
      <c r="C17" s="793" t="s">
        <v>99</v>
      </c>
      <c r="D17" s="793"/>
      <c r="E17" s="793"/>
      <c r="F17" s="838" t="s">
        <v>328</v>
      </c>
      <c r="G17" s="838"/>
      <c r="H17" s="47">
        <f>IF(F17="","",VLOOKUP(F17,'Default values '!A2:B7,2,FALSE))</f>
        <v>0.9</v>
      </c>
      <c r="I17" s="27"/>
      <c r="J17" s="27"/>
      <c r="K17" s="46"/>
      <c r="L17" s="27"/>
      <c r="M17" s="851"/>
      <c r="N17" s="851"/>
      <c r="O17" s="941"/>
      <c r="P17" s="941"/>
      <c r="Q17" s="942"/>
      <c r="R17" s="942"/>
      <c r="S17" s="26"/>
      <c r="T17" s="22"/>
      <c r="U17" s="22"/>
      <c r="V17" s="22"/>
      <c r="W17" s="22"/>
      <c r="X17" s="22"/>
      <c r="Y17" s="22"/>
      <c r="Z17" s="22"/>
    </row>
    <row r="18" spans="1:26" ht="15" customHeight="1">
      <c r="A18" s="317"/>
      <c r="B18" s="8"/>
      <c r="C18" s="793"/>
      <c r="D18" s="793"/>
      <c r="E18" s="793"/>
      <c r="F18" s="838"/>
      <c r="G18" s="838"/>
      <c r="H18" s="15"/>
      <c r="I18" s="317"/>
      <c r="J18" s="317"/>
      <c r="K18" s="9"/>
      <c r="L18" s="317"/>
      <c r="M18" s="943" t="str">
        <f>IF(O14="","","Minimun Saving potential")</f>
        <v>Minimun Saving potential</v>
      </c>
      <c r="N18" s="943"/>
      <c r="O18" s="944">
        <f>IF(F25=0,"",P48)</f>
        <v>505.32183223950551</v>
      </c>
      <c r="P18" s="944"/>
      <c r="Q18" s="898" t="str">
        <f>IF(F25="","","kWh/m²/a")</f>
        <v>kWh/m²/a</v>
      </c>
      <c r="R18" s="898"/>
      <c r="S18" s="317"/>
    </row>
    <row r="19" spans="1:26" ht="15" customHeight="1">
      <c r="A19" s="317"/>
      <c r="B19" s="8"/>
      <c r="C19" s="15"/>
      <c r="D19" s="15"/>
      <c r="E19" s="15"/>
      <c r="F19" s="33"/>
      <c r="G19" s="33"/>
      <c r="H19" s="15"/>
      <c r="I19" s="317"/>
      <c r="J19" s="317"/>
      <c r="K19" s="9"/>
      <c r="L19" s="317"/>
      <c r="M19" s="943"/>
      <c r="N19" s="943"/>
      <c r="O19" s="944"/>
      <c r="P19" s="944"/>
      <c r="Q19" s="898"/>
      <c r="R19" s="898"/>
      <c r="S19" s="317"/>
    </row>
    <row r="20" spans="1:26" ht="15" customHeight="1">
      <c r="A20" s="317"/>
      <c r="B20" s="8"/>
      <c r="C20" s="317"/>
      <c r="D20" s="317"/>
      <c r="E20" s="317"/>
      <c r="F20" s="33"/>
      <c r="G20" s="33"/>
      <c r="H20" s="317"/>
      <c r="I20" s="317"/>
      <c r="J20" s="317"/>
      <c r="K20" s="9"/>
      <c r="L20" s="317"/>
      <c r="M20" s="943"/>
      <c r="N20" s="943"/>
      <c r="O20" s="945">
        <f>IF(F25=0,"",Q48)</f>
        <v>18.191585960622199</v>
      </c>
      <c r="P20" s="945"/>
      <c r="Q20" s="899" t="str">
        <f>IF(F25=0,"","€/m²/a")</f>
        <v>€/m²/a</v>
      </c>
      <c r="R20" s="899"/>
      <c r="S20" s="317"/>
    </row>
    <row r="21" spans="1:26" s="23" customFormat="1" ht="15" customHeight="1">
      <c r="A21" s="26"/>
      <c r="B21" s="31"/>
      <c r="C21" s="793" t="s">
        <v>36</v>
      </c>
      <c r="D21" s="793"/>
      <c r="E21" s="793"/>
      <c r="F21" s="850">
        <v>26</v>
      </c>
      <c r="G21" s="850"/>
      <c r="H21" s="793" t="s">
        <v>22</v>
      </c>
      <c r="I21" s="26"/>
      <c r="J21" s="26"/>
      <c r="K21" s="46"/>
      <c r="L21" s="26"/>
      <c r="M21" s="943"/>
      <c r="N21" s="943"/>
      <c r="O21" s="945"/>
      <c r="P21" s="945"/>
      <c r="Q21" s="899"/>
      <c r="R21" s="899"/>
      <c r="S21" s="26"/>
      <c r="T21" s="22"/>
      <c r="U21" s="22"/>
      <c r="V21" s="22"/>
      <c r="W21" s="22"/>
      <c r="X21" s="22"/>
      <c r="Y21" s="22"/>
      <c r="Z21" s="22"/>
    </row>
    <row r="22" spans="1:26" ht="15" customHeight="1">
      <c r="A22" s="317"/>
      <c r="B22" s="8"/>
      <c r="C22" s="793"/>
      <c r="D22" s="793"/>
      <c r="E22" s="793"/>
      <c r="F22" s="850"/>
      <c r="G22" s="850"/>
      <c r="H22" s="793"/>
      <c r="I22" s="317"/>
      <c r="J22" s="317"/>
      <c r="K22" s="9"/>
      <c r="L22" s="317"/>
      <c r="M22" s="41"/>
      <c r="N22" s="41"/>
      <c r="O22" s="41"/>
      <c r="P22" s="41"/>
      <c r="Q22" s="41"/>
      <c r="R22" s="41"/>
      <c r="S22" s="317"/>
    </row>
    <row r="23" spans="1:26" ht="15" customHeight="1">
      <c r="A23" s="317"/>
      <c r="B23" s="8"/>
      <c r="C23" s="317"/>
      <c r="D23" s="317"/>
      <c r="E23" s="317"/>
      <c r="F23" s="317"/>
      <c r="G23" s="317"/>
      <c r="H23" s="18"/>
      <c r="I23" s="19"/>
      <c r="J23" s="19"/>
      <c r="K23" s="40"/>
      <c r="L23" s="317"/>
      <c r="M23" s="45"/>
      <c r="N23" s="43"/>
      <c r="O23" s="43"/>
      <c r="P23" s="43"/>
      <c r="Q23" s="43"/>
      <c r="R23" s="43"/>
      <c r="S23" s="317"/>
    </row>
    <row r="24" spans="1:26" ht="15" customHeight="1">
      <c r="A24" s="317"/>
      <c r="B24" s="8"/>
      <c r="C24" s="317"/>
      <c r="D24" s="317"/>
      <c r="E24" s="317"/>
      <c r="F24" s="317"/>
      <c r="G24" s="317"/>
      <c r="H24" s="19"/>
      <c r="I24" s="19"/>
      <c r="J24" s="19"/>
      <c r="K24" s="40"/>
      <c r="L24" s="317"/>
      <c r="M24" s="49"/>
      <c r="N24" s="44"/>
      <c r="O24" s="44"/>
      <c r="P24" s="44"/>
      <c r="Q24" s="43"/>
      <c r="R24" s="43"/>
      <c r="S24" s="317"/>
    </row>
    <row r="25" spans="1:26" ht="15" customHeight="1">
      <c r="A25" s="26"/>
      <c r="B25" s="8"/>
      <c r="C25" s="793" t="s">
        <v>38</v>
      </c>
      <c r="D25" s="793"/>
      <c r="E25" s="793"/>
      <c r="F25" s="850">
        <v>52</v>
      </c>
      <c r="G25" s="850"/>
      <c r="H25" s="793" t="s">
        <v>22</v>
      </c>
      <c r="I25" s="19"/>
      <c r="J25" s="19"/>
      <c r="K25" s="40"/>
      <c r="L25" s="317"/>
      <c r="M25" s="946" t="str">
        <f>IF(F25="","",K54)</f>
        <v>"Potential savings per m² if increase of insulation preformance or thickness . Total surface must be defined"</v>
      </c>
      <c r="N25" s="946"/>
      <c r="O25" s="946"/>
      <c r="P25" s="946"/>
      <c r="Q25" s="43"/>
      <c r="R25" s="43"/>
      <c r="S25" s="317"/>
    </row>
    <row r="26" spans="1:26" ht="15" customHeight="1">
      <c r="A26" s="317"/>
      <c r="B26" s="8"/>
      <c r="C26" s="793"/>
      <c r="D26" s="793"/>
      <c r="E26" s="793"/>
      <c r="F26" s="850"/>
      <c r="G26" s="850"/>
      <c r="H26" s="793"/>
      <c r="I26" s="19"/>
      <c r="J26" s="19"/>
      <c r="K26" s="40"/>
      <c r="L26" s="317"/>
      <c r="M26" s="946"/>
      <c r="N26" s="946"/>
      <c r="O26" s="946"/>
      <c r="P26" s="946"/>
      <c r="Q26" s="43"/>
      <c r="R26" s="317"/>
      <c r="S26" s="317"/>
    </row>
    <row r="27" spans="1:26" ht="15" customHeight="1" thickBot="1">
      <c r="A27" s="317"/>
      <c r="B27" s="10"/>
      <c r="C27" s="11"/>
      <c r="D27" s="11"/>
      <c r="E27" s="11"/>
      <c r="F27" s="11"/>
      <c r="G27" s="11"/>
      <c r="H27" s="11"/>
      <c r="I27" s="11"/>
      <c r="J27" s="11"/>
      <c r="K27" s="12"/>
      <c r="L27" s="317"/>
      <c r="M27" s="946"/>
      <c r="N27" s="946"/>
      <c r="O27" s="946"/>
      <c r="P27" s="946"/>
      <c r="Q27" s="43"/>
      <c r="R27" s="317"/>
      <c r="S27" s="317"/>
    </row>
    <row r="28" spans="1:26" ht="15" customHeight="1" thickTop="1" thickBot="1">
      <c r="A28" s="317"/>
      <c r="B28" s="317"/>
      <c r="C28" s="317"/>
      <c r="D28" s="317"/>
      <c r="E28" s="317"/>
      <c r="F28" s="317"/>
      <c r="G28" s="317"/>
      <c r="H28" s="317"/>
      <c r="I28" s="317"/>
      <c r="J28" s="317"/>
      <c r="K28" s="317"/>
      <c r="L28" s="317"/>
      <c r="M28" s="317"/>
      <c r="N28" s="317"/>
      <c r="O28" s="317"/>
      <c r="P28" s="317"/>
      <c r="Q28" s="317"/>
      <c r="R28" s="317"/>
      <c r="S28" s="317"/>
    </row>
    <row r="29" spans="1:26" ht="15" customHeight="1" thickTop="1">
      <c r="A29" s="31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317"/>
    </row>
    <row r="30" spans="1:26">
      <c r="A30" s="317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</row>
    <row r="31" spans="1:26">
      <c r="A31" s="317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</row>
    <row r="32" spans="1:26">
      <c r="A32" s="317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</row>
    <row r="33" spans="1:21">
      <c r="A33" s="317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</row>
    <row r="34" spans="1:21">
      <c r="A34" s="317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</row>
    <row r="35" spans="1:21">
      <c r="A35" s="317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</row>
    <row r="36" spans="1:21">
      <c r="A36" s="317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</row>
    <row r="37" spans="1:21">
      <c r="A37" s="317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</row>
    <row r="38" spans="1:21">
      <c r="A38" s="317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</row>
    <row r="39" spans="1:21">
      <c r="A39" s="317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</row>
    <row r="40" spans="1:21">
      <c r="A40" s="317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</row>
    <row r="41" spans="1:21">
      <c r="A41" s="317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</row>
    <row r="42" spans="1:21">
      <c r="A42" s="317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</row>
    <row r="43" spans="1:21" ht="68.45" customHeight="1">
      <c r="A43" s="65"/>
      <c r="B43" s="65"/>
      <c r="C43" s="73"/>
      <c r="D43" s="72"/>
      <c r="E43" s="72"/>
      <c r="F43" s="35"/>
      <c r="G43" s="16"/>
      <c r="H43" s="16"/>
      <c r="I43" s="16"/>
      <c r="J43" s="74"/>
      <c r="K43" s="74"/>
      <c r="L43" s="74"/>
      <c r="M43" s="75"/>
      <c r="N43" s="76" t="s">
        <v>31</v>
      </c>
      <c r="O43" s="76" t="s">
        <v>83</v>
      </c>
      <c r="P43" s="960" t="s">
        <v>101</v>
      </c>
      <c r="Q43" s="960"/>
      <c r="R43" s="16"/>
      <c r="S43" s="16"/>
      <c r="T43" s="199" t="s">
        <v>149</v>
      </c>
    </row>
    <row r="44" spans="1:21" ht="60">
      <c r="A44" s="948" t="s">
        <v>5</v>
      </c>
      <c r="B44" s="948"/>
      <c r="C44" s="188" t="s">
        <v>35</v>
      </c>
      <c r="D44" s="188" t="s">
        <v>40</v>
      </c>
      <c r="E44" s="188" t="s">
        <v>29</v>
      </c>
      <c r="F44" s="188" t="s">
        <v>30</v>
      </c>
      <c r="G44" s="189" t="s">
        <v>78</v>
      </c>
      <c r="H44" s="188" t="s">
        <v>59</v>
      </c>
      <c r="I44" s="188" t="s">
        <v>58</v>
      </c>
      <c r="J44" s="190" t="s">
        <v>13</v>
      </c>
      <c r="K44" s="190" t="s">
        <v>28</v>
      </c>
      <c r="L44" s="190" t="s">
        <v>26</v>
      </c>
      <c r="M44" s="147" t="s">
        <v>27</v>
      </c>
      <c r="N44" s="80" t="s">
        <v>84</v>
      </c>
      <c r="O44" s="80" t="s">
        <v>85</v>
      </c>
      <c r="P44" s="80"/>
      <c r="Q44" s="80"/>
      <c r="R44" s="16"/>
      <c r="S44" s="16"/>
      <c r="T44" s="200" t="s">
        <v>150</v>
      </c>
      <c r="U44" s="200"/>
    </row>
    <row r="45" spans="1:21">
      <c r="A45" s="804" t="str">
        <f>G5</f>
        <v>N90323</v>
      </c>
      <c r="B45" s="804"/>
      <c r="C45" s="255">
        <f>F13</f>
        <v>1</v>
      </c>
      <c r="D45" s="255">
        <f>N8</f>
        <v>600</v>
      </c>
      <c r="E45" s="256">
        <f>F25</f>
        <v>52</v>
      </c>
      <c r="F45" s="256">
        <f>F21</f>
        <v>26</v>
      </c>
      <c r="G45" s="256">
        <f>H17</f>
        <v>0.9</v>
      </c>
      <c r="H45" s="256">
        <f>P5</f>
        <v>6000</v>
      </c>
      <c r="I45" s="257">
        <f>TBi!$L$27</f>
        <v>3.5999999999999997E-2</v>
      </c>
      <c r="J45" s="192">
        <f>IF(E45=0,"",G45*D63*(((E45+273)^4-(F45+273)^4)/(E45-F45)))</f>
        <v>6.2105602733478715</v>
      </c>
      <c r="K45" s="193">
        <f>IF(E45=0,"",1.74*ABS(E45-F45)^0.3333333)</f>
        <v>5.1547425992071609</v>
      </c>
      <c r="L45" s="192">
        <f>IF(E45=0,"",J45+K45)</f>
        <v>11.365302872555032</v>
      </c>
      <c r="M45" s="194">
        <f>IF(E45=0,"",L45*ABS(E45-F45))</f>
        <v>295.49787468643086</v>
      </c>
      <c r="N45" s="79">
        <f>IF(E45=0,"",M45*H45*C45/1000)</f>
        <v>1772.9872481185853</v>
      </c>
      <c r="O45" s="79">
        <f>IF(E45=0,"",N45*I45)</f>
        <v>63.827540932269066</v>
      </c>
      <c r="P45" s="61"/>
      <c r="Q45" s="61"/>
      <c r="R45" s="16"/>
      <c r="S45" s="16"/>
      <c r="T45" s="201">
        <f>(D45-E45)*$T$47/M45</f>
        <v>0.18544972635810431</v>
      </c>
      <c r="U45" s="201"/>
    </row>
    <row r="46" spans="1:21">
      <c r="A46" s="319" t="s">
        <v>100</v>
      </c>
      <c r="B46" s="319" t="str">
        <f>A45</f>
        <v>N90323</v>
      </c>
      <c r="C46" s="255">
        <f>C45</f>
        <v>1</v>
      </c>
      <c r="D46" s="255">
        <f>D45</f>
        <v>600</v>
      </c>
      <c r="E46" s="417">
        <f>D75</f>
        <v>55</v>
      </c>
      <c r="F46" s="417">
        <f>D76</f>
        <v>35</v>
      </c>
      <c r="G46" s="256">
        <f>D77</f>
        <v>0.8</v>
      </c>
      <c r="H46" s="256">
        <f>H45</f>
        <v>6000</v>
      </c>
      <c r="I46" s="257">
        <f>I45</f>
        <v>3.5999999999999997E-2</v>
      </c>
      <c r="J46" s="192">
        <f>IF(E46=0,"",G46*D63*(((E46+273)^4-(F46+273)^4)/(E46-F46)))</f>
        <v>5.8407922844206084</v>
      </c>
      <c r="K46" s="193">
        <f>IF(E46=0,"",1.74*ABS(E46-F46)^0.3333333)</f>
        <v>4.72308618123839</v>
      </c>
      <c r="L46" s="192">
        <f>IF(E46=0,"",J46+K46)</f>
        <v>10.563878465658998</v>
      </c>
      <c r="M46" s="194">
        <f>IF(E46=0,"",L46*ABS(E46-F46))</f>
        <v>211.27756931317998</v>
      </c>
      <c r="N46" s="195">
        <f>IF(E46=0,"",M46*H46*C46/1000)</f>
        <v>1267.6654158790798</v>
      </c>
      <c r="O46" s="195">
        <f>IF(E46=0,"",N46*I46)</f>
        <v>45.635954971646868</v>
      </c>
      <c r="P46" s="79"/>
      <c r="Q46" s="79"/>
      <c r="R46" s="16"/>
      <c r="S46" s="16"/>
      <c r="T46" s="201">
        <f>(D46-E46)*$T$47/M46</f>
        <v>0.25795450116720064</v>
      </c>
      <c r="U46" s="201"/>
    </row>
    <row r="47" spans="1:21" s="16" customFormat="1" ht="18.75">
      <c r="A47" s="185"/>
      <c r="B47" s="56"/>
      <c r="C47" s="56"/>
      <c r="D47" s="181"/>
      <c r="E47" s="181"/>
      <c r="F47" s="181"/>
      <c r="G47" s="57"/>
      <c r="H47" s="57"/>
      <c r="I47" s="57"/>
      <c r="J47" s="58"/>
      <c r="K47" s="59"/>
      <c r="L47" s="58"/>
      <c r="M47" s="75"/>
      <c r="N47" s="75"/>
      <c r="O47" s="75"/>
      <c r="P47" s="186" t="s">
        <v>61</v>
      </c>
      <c r="Q47" s="187" t="s">
        <v>23</v>
      </c>
      <c r="R47" s="36"/>
      <c r="S47" s="36"/>
      <c r="T47" s="301">
        <v>0.1</v>
      </c>
      <c r="U47" s="202"/>
    </row>
    <row r="48" spans="1:21" s="16" customFormat="1">
      <c r="A48" s="56"/>
      <c r="B48" s="56"/>
      <c r="C48" s="56"/>
      <c r="D48" s="56"/>
      <c r="E48" s="182"/>
      <c r="F48" s="182"/>
      <c r="G48" s="57"/>
      <c r="H48" s="57"/>
      <c r="I48" s="57"/>
      <c r="J48" s="58"/>
      <c r="K48" s="59"/>
      <c r="L48" s="58"/>
      <c r="M48" s="60"/>
      <c r="N48" s="129"/>
      <c r="O48" s="129"/>
      <c r="P48" s="184">
        <f>N45-N46</f>
        <v>505.32183223950551</v>
      </c>
      <c r="Q48" s="79">
        <f>O45-O46</f>
        <v>18.191585960622199</v>
      </c>
      <c r="R48" s="36"/>
      <c r="S48" s="36"/>
      <c r="T48" s="200" t="s">
        <v>55</v>
      </c>
      <c r="U48" s="200"/>
    </row>
    <row r="49" spans="1:21" s="16" customFormat="1">
      <c r="A49" s="56"/>
      <c r="B49" s="56"/>
      <c r="C49" s="56"/>
      <c r="D49" s="56"/>
      <c r="E49" s="182"/>
      <c r="F49" s="182"/>
      <c r="G49" s="57"/>
      <c r="H49" s="57"/>
      <c r="I49" s="57"/>
      <c r="J49" s="58"/>
      <c r="K49" s="59"/>
      <c r="L49" s="58"/>
      <c r="M49" s="60"/>
      <c r="N49" s="129"/>
      <c r="O49" s="129"/>
      <c r="P49" s="123"/>
      <c r="Q49" s="123"/>
      <c r="R49" s="36"/>
      <c r="S49" s="36"/>
      <c r="T49" s="200"/>
      <c r="U49" s="200"/>
    </row>
    <row r="50" spans="1:21" s="16" customFormat="1">
      <c r="A50" s="56"/>
      <c r="B50" s="56"/>
      <c r="C50" s="56"/>
      <c r="D50" s="56"/>
      <c r="E50" s="182"/>
      <c r="F50" s="182"/>
      <c r="G50" s="57"/>
      <c r="H50" s="57"/>
      <c r="I50" s="57"/>
      <c r="J50" s="58"/>
      <c r="K50" s="59"/>
      <c r="L50" s="58"/>
      <c r="M50" s="60"/>
      <c r="N50" s="129"/>
      <c r="O50" s="129"/>
      <c r="P50" s="123"/>
      <c r="Q50" s="123"/>
      <c r="R50" s="36"/>
      <c r="S50" s="36"/>
      <c r="T50" s="200"/>
      <c r="U50" s="200"/>
    </row>
    <row r="51" spans="1:21" s="16" customFormat="1">
      <c r="A51" s="56"/>
      <c r="B51" s="56"/>
      <c r="C51" s="56"/>
      <c r="D51" s="56"/>
      <c r="E51" s="182"/>
      <c r="F51" s="182"/>
      <c r="G51" s="57"/>
      <c r="H51" s="57"/>
      <c r="I51" s="57"/>
      <c r="J51" s="58"/>
      <c r="K51" s="59"/>
      <c r="L51" s="58"/>
      <c r="M51" s="60"/>
      <c r="N51" s="129"/>
      <c r="O51" s="129"/>
      <c r="P51" s="123"/>
      <c r="Q51" s="123"/>
      <c r="R51" s="36"/>
      <c r="S51" s="36"/>
      <c r="T51" s="200"/>
      <c r="U51" s="200"/>
    </row>
    <row r="52" spans="1:21" s="16" customFormat="1">
      <c r="A52" s="56"/>
      <c r="B52" s="56"/>
      <c r="C52" s="56"/>
      <c r="D52" s="56"/>
      <c r="E52" s="182"/>
      <c r="F52" s="182"/>
      <c r="G52" s="57"/>
      <c r="H52" s="57"/>
      <c r="I52" s="57"/>
      <c r="J52" s="58"/>
      <c r="K52" s="59"/>
      <c r="L52" s="58"/>
      <c r="M52" s="60"/>
      <c r="N52" s="129"/>
      <c r="O52" s="129"/>
      <c r="P52" s="123"/>
      <c r="Q52" s="123"/>
      <c r="R52" s="36"/>
      <c r="S52" s="36"/>
      <c r="T52" s="200"/>
      <c r="U52" s="200"/>
    </row>
    <row r="53" spans="1:21" s="16" customFormat="1" ht="15.75" thickBot="1">
      <c r="A53" s="56"/>
      <c r="B53" s="56"/>
      <c r="C53" s="56"/>
      <c r="D53" s="56"/>
      <c r="E53" s="182"/>
      <c r="F53" s="182"/>
      <c r="G53" s="57"/>
      <c r="H53" s="57"/>
      <c r="I53" s="57"/>
      <c r="J53" s="58"/>
      <c r="K53" s="59"/>
      <c r="L53" s="58"/>
      <c r="M53" s="60"/>
      <c r="N53" s="129"/>
      <c r="O53" s="129"/>
      <c r="P53" s="123"/>
      <c r="Q53" s="123"/>
      <c r="R53" s="36"/>
      <c r="S53" s="36"/>
      <c r="T53" s="200"/>
      <c r="U53" s="200"/>
    </row>
    <row r="54" spans="1:21" s="16" customFormat="1">
      <c r="A54" s="56"/>
      <c r="B54" s="56"/>
      <c r="C54" s="56"/>
      <c r="D54" s="56"/>
      <c r="E54" s="182"/>
      <c r="F54" s="182"/>
      <c r="G54" s="57"/>
      <c r="H54" s="57"/>
      <c r="I54" s="57"/>
      <c r="J54" s="58"/>
      <c r="K54" s="949" t="s">
        <v>372</v>
      </c>
      <c r="L54" s="950"/>
      <c r="M54" s="950"/>
      <c r="N54" s="950"/>
      <c r="O54" s="950"/>
      <c r="P54" s="951"/>
      <c r="Q54" s="123"/>
      <c r="R54" s="36"/>
      <c r="S54" s="36"/>
      <c r="T54" s="200"/>
      <c r="U54" s="200"/>
    </row>
    <row r="55" spans="1:21" s="16" customFormat="1">
      <c r="A55" s="56"/>
      <c r="B55" s="56"/>
      <c r="C55" s="56"/>
      <c r="D55" s="56"/>
      <c r="E55" s="182"/>
      <c r="F55" s="182"/>
      <c r="G55" s="57"/>
      <c r="H55" s="57"/>
      <c r="I55" s="57"/>
      <c r="J55" s="58"/>
      <c r="K55" s="952"/>
      <c r="L55" s="953"/>
      <c r="M55" s="953"/>
      <c r="N55" s="953"/>
      <c r="O55" s="953"/>
      <c r="P55" s="954"/>
      <c r="Q55" s="123"/>
      <c r="R55" s="36"/>
      <c r="S55" s="36"/>
      <c r="T55" s="200"/>
      <c r="U55" s="200"/>
    </row>
    <row r="56" spans="1:21" s="16" customFormat="1" ht="15.75" thickBot="1">
      <c r="A56" s="56"/>
      <c r="B56" s="56"/>
      <c r="C56" s="56"/>
      <c r="D56" s="56"/>
      <c r="E56" s="182"/>
      <c r="F56" s="182"/>
      <c r="G56" s="57"/>
      <c r="H56" s="57"/>
      <c r="I56" s="57"/>
      <c r="J56" s="58"/>
      <c r="K56" s="955"/>
      <c r="L56" s="956"/>
      <c r="M56" s="956"/>
      <c r="N56" s="956"/>
      <c r="O56" s="956"/>
      <c r="P56" s="957"/>
      <c r="Q56" s="123"/>
      <c r="R56" s="36"/>
      <c r="S56" s="36"/>
      <c r="T56" s="200"/>
      <c r="U56" s="200"/>
    </row>
    <row r="57" spans="1:21" s="16" customFormat="1">
      <c r="A57" s="56"/>
      <c r="B57" s="56"/>
      <c r="C57" s="57"/>
      <c r="D57" s="57"/>
      <c r="E57" s="183"/>
      <c r="F57" s="59"/>
      <c r="G57" s="57"/>
      <c r="H57" s="57"/>
      <c r="I57" s="57"/>
      <c r="J57" s="58"/>
      <c r="K57" s="59"/>
      <c r="L57" s="58"/>
      <c r="M57" s="60"/>
      <c r="N57" s="123"/>
      <c r="O57" s="123"/>
      <c r="P57" s="129"/>
      <c r="Q57" s="129"/>
      <c r="R57" s="36"/>
      <c r="S57" s="36"/>
      <c r="T57" s="36"/>
    </row>
    <row r="58" spans="1:21" s="16" customFormat="1" ht="15.75" thickBot="1">
      <c r="A58" s="56"/>
      <c r="B58" s="56"/>
      <c r="C58" s="56"/>
      <c r="D58" s="57"/>
      <c r="E58" s="58"/>
      <c r="F58" s="58"/>
      <c r="G58" s="57"/>
      <c r="H58" s="57"/>
      <c r="I58" s="57"/>
      <c r="J58" s="58"/>
      <c r="K58" s="59"/>
      <c r="L58" s="58"/>
      <c r="M58" s="60"/>
      <c r="N58" s="123"/>
      <c r="O58" s="123"/>
      <c r="P58" s="129"/>
      <c r="Q58" s="129"/>
      <c r="R58" s="36"/>
      <c r="S58" s="36"/>
      <c r="T58" s="36"/>
    </row>
    <row r="59" spans="1:21" s="16" customFormat="1" ht="15.75" thickBot="1">
      <c r="A59" s="56"/>
      <c r="B59" s="56"/>
      <c r="C59" s="56"/>
      <c r="D59" s="141"/>
      <c r="E59" s="151"/>
      <c r="F59" s="17"/>
      <c r="G59" s="57"/>
      <c r="H59" s="57"/>
      <c r="I59" s="57"/>
      <c r="J59" s="58"/>
      <c r="K59" s="59"/>
      <c r="L59" s="58"/>
      <c r="M59" s="60"/>
      <c r="N59" s="123"/>
      <c r="O59" s="123"/>
      <c r="P59" s="129"/>
      <c r="Q59" s="129"/>
      <c r="R59" s="36"/>
      <c r="S59" s="36"/>
      <c r="T59" s="36"/>
    </row>
    <row r="60" spans="1:21" s="16" customFormat="1">
      <c r="A60" s="56"/>
      <c r="B60" s="56"/>
      <c r="C60" s="56"/>
      <c r="D60" s="57"/>
      <c r="E60" s="58"/>
      <c r="F60" s="57"/>
      <c r="G60" s="57"/>
      <c r="H60" s="57"/>
      <c r="I60" s="57"/>
      <c r="J60" s="58"/>
      <c r="K60" s="59"/>
      <c r="L60" s="58"/>
      <c r="M60" s="60"/>
      <c r="N60" s="123"/>
      <c r="O60" s="123"/>
      <c r="P60" s="129"/>
      <c r="Q60" s="129"/>
      <c r="R60" s="36"/>
      <c r="S60" s="36"/>
      <c r="T60" s="36"/>
    </row>
    <row r="61" spans="1:21" s="16" customFormat="1" ht="15.75" thickBot="1">
      <c r="A61" s="832" t="s">
        <v>109</v>
      </c>
      <c r="B61" s="832"/>
      <c r="C61" s="832"/>
      <c r="D61" s="832"/>
      <c r="E61" s="832"/>
      <c r="F61" s="832"/>
      <c r="G61" s="832"/>
      <c r="H61" s="832"/>
      <c r="I61" s="832"/>
      <c r="J61" s="832"/>
      <c r="K61" s="832"/>
      <c r="L61" s="832"/>
      <c r="M61" s="832"/>
      <c r="N61" s="832"/>
      <c r="O61" s="832"/>
      <c r="P61" s="832"/>
      <c r="Q61" s="832"/>
      <c r="R61" s="832"/>
      <c r="S61" s="832"/>
      <c r="T61" s="832"/>
      <c r="U61" s="16" t="s">
        <v>82</v>
      </c>
    </row>
    <row r="62" spans="1:21" s="2" customFormat="1" ht="15.75" thickBot="1">
      <c r="A62" s="905" t="s">
        <v>162</v>
      </c>
      <c r="B62" s="906"/>
      <c r="C62" s="906"/>
      <c r="D62" s="232">
        <v>3.1415999999999999</v>
      </c>
      <c r="E62" s="57"/>
      <c r="F62" s="57"/>
      <c r="G62" s="57"/>
      <c r="H62" s="57"/>
      <c r="I62" s="57"/>
      <c r="J62" s="58"/>
      <c r="K62" s="59"/>
      <c r="L62" s="58"/>
      <c r="M62" s="60"/>
      <c r="N62" s="327"/>
      <c r="O62" s="327"/>
      <c r="P62" s="280"/>
      <c r="Q62" s="280"/>
      <c r="R62" s="328"/>
      <c r="S62" s="328"/>
      <c r="T62" s="328"/>
    </row>
    <row r="63" spans="1:21" s="2" customFormat="1" ht="15.75" thickBot="1">
      <c r="A63" s="907" t="s">
        <v>80</v>
      </c>
      <c r="B63" s="906"/>
      <c r="C63" s="906"/>
      <c r="D63" s="304">
        <v>5.6703669999999997E-8</v>
      </c>
      <c r="E63" s="57"/>
      <c r="F63" s="57"/>
      <c r="G63" s="57"/>
      <c r="H63" s="57"/>
      <c r="I63" s="57"/>
      <c r="J63" s="58"/>
      <c r="K63" s="59"/>
      <c r="L63" s="58"/>
      <c r="M63" s="60"/>
      <c r="N63" s="327"/>
      <c r="O63" s="327"/>
      <c r="P63" s="280"/>
      <c r="Q63" s="280"/>
      <c r="R63" s="328"/>
      <c r="S63" s="328"/>
      <c r="T63" s="328"/>
    </row>
    <row r="64" spans="1:21" s="2" customFormat="1" ht="15.75" thickBot="1">
      <c r="A64" s="831" t="s">
        <v>174</v>
      </c>
      <c r="B64" s="806" t="s">
        <v>173</v>
      </c>
      <c r="C64" s="806"/>
      <c r="D64" s="302">
        <v>25</v>
      </c>
      <c r="E64" s="132" t="s">
        <v>22</v>
      </c>
      <c r="F64" s="132"/>
      <c r="G64" s="132"/>
      <c r="H64" s="57"/>
      <c r="I64" s="57"/>
      <c r="J64" s="58"/>
      <c r="K64" s="59"/>
      <c r="L64" s="58"/>
      <c r="M64" s="60"/>
      <c r="N64" s="327"/>
      <c r="O64" s="327"/>
      <c r="P64" s="280"/>
      <c r="Q64" s="280"/>
      <c r="R64" s="328"/>
      <c r="S64" s="328"/>
      <c r="T64" s="328"/>
    </row>
    <row r="65" spans="1:22" s="2" customFormat="1">
      <c r="A65" s="162"/>
      <c r="B65" s="89"/>
      <c r="C65" s="157"/>
      <c r="D65" s="57"/>
      <c r="E65" s="57"/>
      <c r="F65" s="56"/>
      <c r="G65" s="130"/>
      <c r="H65" s="57"/>
      <c r="I65" s="58"/>
      <c r="J65" s="59"/>
      <c r="K65" s="58"/>
      <c r="L65" s="60"/>
      <c r="M65" s="327"/>
      <c r="N65" s="327"/>
      <c r="O65" s="280"/>
      <c r="P65" s="280"/>
      <c r="Q65" s="328"/>
      <c r="R65" s="328"/>
      <c r="S65" s="328"/>
    </row>
    <row r="66" spans="1:22" s="2" customFormat="1">
      <c r="A66" s="162"/>
      <c r="B66" s="89"/>
      <c r="C66" s="157"/>
      <c r="D66" s="57"/>
      <c r="E66" s="178"/>
      <c r="F66" s="179"/>
      <c r="G66" s="180"/>
      <c r="H66" s="57"/>
      <c r="I66" s="58"/>
      <c r="J66" s="59"/>
      <c r="K66" s="58"/>
      <c r="L66" s="60"/>
      <c r="M66" s="327"/>
      <c r="N66" s="327"/>
      <c r="O66" s="280"/>
      <c r="P66" s="280"/>
      <c r="Q66" s="328"/>
      <c r="R66" s="328"/>
      <c r="S66" s="328"/>
    </row>
    <row r="67" spans="1:22" s="2" customFormat="1">
      <c r="A67" s="162"/>
      <c r="B67" s="89"/>
      <c r="C67" s="168"/>
      <c r="D67" s="57"/>
      <c r="E67" s="178"/>
      <c r="F67" s="179"/>
      <c r="G67" s="180"/>
      <c r="H67" s="57"/>
      <c r="I67" s="58"/>
      <c r="J67" s="59"/>
      <c r="K67" s="58"/>
      <c r="L67" s="60"/>
      <c r="M67" s="327"/>
      <c r="N67" s="327"/>
      <c r="O67" s="280"/>
      <c r="P67" s="280"/>
      <c r="Q67" s="328"/>
      <c r="R67" s="328"/>
      <c r="S67" s="328"/>
    </row>
    <row r="68" spans="1:22" s="2" customFormat="1">
      <c r="A68" s="162"/>
      <c r="B68" s="89"/>
      <c r="C68" s="168"/>
      <c r="D68" s="57"/>
      <c r="E68" s="57"/>
      <c r="F68" s="57"/>
      <c r="G68" s="180"/>
      <c r="H68" s="57"/>
      <c r="I68" s="58"/>
      <c r="J68" s="59"/>
      <c r="K68" s="58"/>
      <c r="L68" s="60"/>
      <c r="M68" s="327"/>
      <c r="N68" s="327"/>
      <c r="O68" s="280"/>
      <c r="P68" s="280"/>
      <c r="Q68" s="328"/>
      <c r="R68" s="328"/>
      <c r="S68" s="328"/>
    </row>
    <row r="69" spans="1:22" customFormat="1">
      <c r="A69" s="56"/>
      <c r="B69" s="89"/>
      <c r="C69" s="168"/>
      <c r="D69" s="57"/>
      <c r="E69" s="57"/>
      <c r="F69" s="58"/>
      <c r="G69" s="59"/>
      <c r="H69" s="58"/>
      <c r="I69" s="60"/>
      <c r="J69" s="2"/>
      <c r="K69" s="2"/>
      <c r="L69" s="280"/>
      <c r="M69" s="280"/>
      <c r="N69" s="2"/>
      <c r="O69" s="280"/>
      <c r="P69" s="306"/>
      <c r="Q69" s="328"/>
      <c r="R69" s="328"/>
      <c r="S69" s="328"/>
      <c r="T69" s="2"/>
    </row>
    <row r="70" spans="1:22" customFormat="1">
      <c r="A70" s="56"/>
      <c r="B70" s="89"/>
      <c r="C70" s="168"/>
      <c r="D70" s="57"/>
      <c r="E70" s="57"/>
      <c r="F70" s="58"/>
      <c r="G70" s="59"/>
      <c r="H70" s="58"/>
      <c r="I70" s="60"/>
      <c r="J70" s="2"/>
      <c r="K70" s="2"/>
      <c r="L70" s="280"/>
      <c r="M70" s="280"/>
      <c r="N70" s="16"/>
      <c r="O70" s="980"/>
      <c r="P70" s="980"/>
      <c r="Q70" s="980"/>
      <c r="R70" s="980"/>
      <c r="S70" s="980"/>
      <c r="T70" s="980"/>
      <c r="U70" s="16"/>
      <c r="V70" s="16"/>
    </row>
    <row r="71" spans="1:22" customFormat="1" ht="15.75" thickBot="1">
      <c r="A71" s="56"/>
      <c r="B71" s="16"/>
      <c r="C71" s="129"/>
      <c r="D71" s="38"/>
      <c r="E71" s="16"/>
      <c r="F71" s="16"/>
      <c r="G71" s="16"/>
      <c r="H71" s="58"/>
      <c r="I71" s="60"/>
      <c r="J71" s="2"/>
      <c r="K71" s="2"/>
      <c r="L71" s="280"/>
      <c r="M71" s="280"/>
      <c r="N71" s="16"/>
      <c r="O71" s="966"/>
      <c r="P71" s="966"/>
      <c r="Q71" s="966"/>
      <c r="R71" s="308"/>
      <c r="S71" s="308"/>
      <c r="T71" s="16"/>
      <c r="U71" s="16"/>
      <c r="V71" s="16"/>
    </row>
    <row r="72" spans="1:22" customFormat="1" ht="15.75" thickBot="1">
      <c r="A72" s="169"/>
      <c r="B72" s="170" t="s">
        <v>136</v>
      </c>
      <c r="C72" s="155"/>
      <c r="D72" s="297">
        <v>1.6</v>
      </c>
      <c r="E72" s="16"/>
      <c r="F72" s="16"/>
      <c r="G72" s="16"/>
      <c r="H72" s="58"/>
      <c r="I72" s="60"/>
      <c r="J72" s="2"/>
      <c r="K72" s="2"/>
      <c r="L72" s="280"/>
      <c r="M72" s="280"/>
      <c r="N72" s="16"/>
      <c r="O72" s="966"/>
      <c r="P72" s="966"/>
      <c r="Q72" s="966"/>
      <c r="R72" s="308"/>
      <c r="S72" s="308"/>
      <c r="T72" s="16"/>
      <c r="U72" s="16"/>
      <c r="V72" s="16"/>
    </row>
    <row r="73" spans="1:22" customFormat="1" ht="15.75" thickBot="1">
      <c r="A73" s="169"/>
      <c r="B73" s="170" t="s">
        <v>137</v>
      </c>
      <c r="C73" s="155"/>
      <c r="D73" s="297">
        <v>2</v>
      </c>
      <c r="E73" s="16"/>
      <c r="F73" s="16"/>
      <c r="G73" s="16"/>
      <c r="H73" s="58"/>
      <c r="I73" s="60"/>
      <c r="J73" s="2"/>
      <c r="K73" s="2"/>
      <c r="L73" s="280"/>
      <c r="M73" s="280"/>
      <c r="N73" s="16"/>
      <c r="O73" s="966"/>
      <c r="P73" s="966"/>
      <c r="Q73" s="966"/>
      <c r="R73" s="309"/>
      <c r="S73" s="308"/>
      <c r="T73" s="16"/>
      <c r="U73" s="16"/>
      <c r="V73" s="16"/>
    </row>
    <row r="74" spans="1:22" customFormat="1" ht="15.75" thickBot="1">
      <c r="A74" s="967" t="s">
        <v>86</v>
      </c>
      <c r="B74" s="968"/>
      <c r="C74" s="969"/>
      <c r="D74" s="298">
        <v>55</v>
      </c>
      <c r="E74" s="171" t="s">
        <v>22</v>
      </c>
      <c r="F74" s="58"/>
      <c r="G74" s="59"/>
      <c r="H74" s="58"/>
      <c r="I74" s="60"/>
      <c r="J74" s="2"/>
      <c r="K74" s="2"/>
      <c r="L74" s="280"/>
      <c r="M74" s="280"/>
      <c r="N74" s="16"/>
      <c r="O74" s="966"/>
      <c r="P74" s="966"/>
      <c r="Q74" s="966"/>
      <c r="R74" s="310"/>
      <c r="S74" s="308"/>
      <c r="T74" s="16"/>
      <c r="U74" s="16"/>
      <c r="V74" s="16"/>
    </row>
    <row r="75" spans="1:22" customFormat="1" ht="15.75" thickBot="1">
      <c r="A75" s="964" t="s">
        <v>140</v>
      </c>
      <c r="B75" s="965"/>
      <c r="C75" s="965"/>
      <c r="D75" s="299">
        <v>55</v>
      </c>
      <c r="E75" s="132"/>
      <c r="F75" s="133"/>
      <c r="G75" s="134"/>
      <c r="H75" s="133"/>
      <c r="I75" s="135"/>
      <c r="J75" s="139"/>
      <c r="K75" s="2"/>
      <c r="L75" s="280"/>
      <c r="M75" s="280"/>
      <c r="N75" s="16"/>
      <c r="O75" s="966"/>
      <c r="P75" s="966"/>
      <c r="Q75" s="966"/>
      <c r="R75" s="311"/>
      <c r="S75" s="36"/>
      <c r="T75" s="16"/>
      <c r="U75" s="16"/>
      <c r="V75" s="16"/>
    </row>
    <row r="76" spans="1:22" customFormat="1" ht="15.75" thickBot="1">
      <c r="A76" s="958" t="s">
        <v>141</v>
      </c>
      <c r="B76" s="959"/>
      <c r="C76" s="959"/>
      <c r="D76" s="299">
        <v>35</v>
      </c>
      <c r="E76" s="132"/>
      <c r="F76" s="133"/>
      <c r="G76" s="134"/>
      <c r="H76" s="133"/>
      <c r="I76" s="135"/>
      <c r="J76" s="139"/>
      <c r="K76" s="2"/>
      <c r="L76" s="280"/>
      <c r="M76" s="280"/>
      <c r="N76" s="16"/>
      <c r="O76" s="129"/>
      <c r="P76" s="312"/>
      <c r="Q76" s="36"/>
      <c r="R76" s="36"/>
      <c r="S76" s="36"/>
      <c r="T76" s="16"/>
      <c r="U76" s="16"/>
      <c r="V76" s="16"/>
    </row>
    <row r="77" spans="1:22" ht="15.75" thickBot="1">
      <c r="A77" s="958" t="s">
        <v>151</v>
      </c>
      <c r="B77" s="959"/>
      <c r="C77" s="959"/>
      <c r="D77" s="299">
        <v>0.8</v>
      </c>
      <c r="K77" s="961"/>
      <c r="L77" s="962"/>
      <c r="M77" s="963"/>
      <c r="N77" s="313"/>
      <c r="O77" s="314"/>
      <c r="P77" s="16"/>
      <c r="Q77" s="16"/>
      <c r="R77" s="16"/>
      <c r="S77" s="16"/>
    </row>
    <row r="94" spans="1:17" ht="60">
      <c r="A94" s="948" t="s">
        <v>5</v>
      </c>
      <c r="B94" s="948"/>
      <c r="C94" s="188" t="s">
        <v>35</v>
      </c>
      <c r="D94" s="188" t="s">
        <v>40</v>
      </c>
      <c r="E94" s="188" t="s">
        <v>29</v>
      </c>
      <c r="F94" s="188" t="s">
        <v>30</v>
      </c>
      <c r="G94" s="189" t="s">
        <v>78</v>
      </c>
      <c r="H94" s="188" t="s">
        <v>59</v>
      </c>
      <c r="I94" s="188" t="s">
        <v>58</v>
      </c>
      <c r="J94" s="190" t="s">
        <v>13</v>
      </c>
      <c r="K94" s="190" t="s">
        <v>28</v>
      </c>
      <c r="L94" s="190" t="s">
        <v>26</v>
      </c>
      <c r="M94" s="147" t="s">
        <v>27</v>
      </c>
      <c r="N94" s="80" t="s">
        <v>84</v>
      </c>
      <c r="O94" s="80" t="s">
        <v>85</v>
      </c>
      <c r="P94" s="80"/>
      <c r="Q94" s="80"/>
    </row>
    <row r="95" spans="1:17" ht="18.75">
      <c r="A95" s="804"/>
      <c r="B95" s="804"/>
      <c r="C95" s="508"/>
      <c r="D95" s="255"/>
      <c r="E95" s="256"/>
      <c r="F95" s="256"/>
      <c r="G95" s="256"/>
      <c r="H95" s="256"/>
      <c r="I95" s="257"/>
      <c r="J95" s="514">
        <v>1</v>
      </c>
      <c r="K95" s="505">
        <v>2</v>
      </c>
      <c r="L95" s="505">
        <v>3</v>
      </c>
      <c r="M95" s="514">
        <v>4</v>
      </c>
      <c r="N95" s="506">
        <v>5</v>
      </c>
      <c r="O95" s="506">
        <v>6</v>
      </c>
      <c r="P95" s="186" t="s">
        <v>61</v>
      </c>
      <c r="Q95" s="187" t="s">
        <v>23</v>
      </c>
    </row>
    <row r="96" spans="1:17" ht="15.75">
      <c r="A96" s="986" t="s">
        <v>290</v>
      </c>
      <c r="B96" s="987"/>
      <c r="C96" s="508"/>
      <c r="D96" s="255"/>
      <c r="E96" s="417" t="s">
        <v>368</v>
      </c>
      <c r="F96" s="417" t="s">
        <v>368</v>
      </c>
      <c r="G96" s="256"/>
      <c r="H96" s="256"/>
      <c r="I96" s="257"/>
      <c r="J96" s="514">
        <v>1</v>
      </c>
      <c r="K96" s="505">
        <v>2</v>
      </c>
      <c r="L96" s="505">
        <v>3</v>
      </c>
      <c r="M96" s="514">
        <v>4</v>
      </c>
      <c r="N96" s="195">
        <v>5</v>
      </c>
      <c r="O96" s="195">
        <v>6</v>
      </c>
      <c r="P96" s="507">
        <v>26</v>
      </c>
      <c r="Q96" s="507">
        <v>28</v>
      </c>
    </row>
    <row r="97" spans="1:17" ht="15.75">
      <c r="A97" s="185"/>
      <c r="B97" s="56"/>
      <c r="C97" s="56"/>
      <c r="D97" s="181"/>
      <c r="E97" s="181"/>
      <c r="F97" s="181"/>
      <c r="G97" s="57"/>
      <c r="H97" s="57"/>
      <c r="I97" s="57"/>
      <c r="J97" s="58"/>
      <c r="K97" s="59"/>
      <c r="L97" s="58"/>
      <c r="M97" s="75"/>
      <c r="N97" s="75"/>
      <c r="O97" s="75"/>
      <c r="P97" s="123"/>
      <c r="Q97" s="123"/>
    </row>
    <row r="98" spans="1:17">
      <c r="A98" s="56"/>
      <c r="B98" s="56"/>
      <c r="C98" s="56"/>
      <c r="D98" s="56"/>
      <c r="E98" s="182"/>
      <c r="F98" s="182"/>
      <c r="G98" s="57"/>
      <c r="H98" s="57"/>
      <c r="I98" s="57"/>
      <c r="J98" s="58"/>
      <c r="K98" s="59"/>
      <c r="L98" s="58"/>
      <c r="M98" s="60"/>
      <c r="N98" s="129"/>
      <c r="O98" s="129"/>
      <c r="P98" s="123"/>
      <c r="Q98" s="123"/>
    </row>
    <row r="99" spans="1:17">
      <c r="A99" s="56"/>
      <c r="B99" s="56"/>
      <c r="C99" s="56"/>
      <c r="D99" s="56"/>
      <c r="E99" s="182"/>
      <c r="F99" s="182"/>
      <c r="G99" s="57"/>
      <c r="H99" s="57"/>
      <c r="I99" s="57"/>
      <c r="J99" s="58"/>
      <c r="K99" s="59"/>
      <c r="L99" s="58"/>
      <c r="M99" s="60"/>
      <c r="N99" s="129"/>
      <c r="O99" s="129"/>
      <c r="P99" s="123"/>
      <c r="Q99" s="123"/>
    </row>
    <row r="100" spans="1:17">
      <c r="A100" s="56"/>
      <c r="B100" s="56"/>
      <c r="C100" s="56"/>
      <c r="D100" s="56"/>
      <c r="E100" s="182"/>
      <c r="F100" s="182"/>
      <c r="G100" s="57"/>
      <c r="H100" s="57"/>
      <c r="I100" s="57"/>
      <c r="J100" s="58"/>
      <c r="K100" s="59"/>
      <c r="L100" s="58"/>
      <c r="M100" s="60"/>
      <c r="N100" s="129"/>
      <c r="O100" s="129"/>
      <c r="P100" s="123"/>
      <c r="Q100" s="123"/>
    </row>
    <row r="101" spans="1:17">
      <c r="A101" s="56"/>
      <c r="B101" s="56"/>
      <c r="C101" s="56"/>
      <c r="D101" s="56"/>
      <c r="E101" s="182"/>
      <c r="F101" s="182"/>
      <c r="G101" s="57"/>
      <c r="H101" s="57"/>
      <c r="I101" s="57"/>
      <c r="J101" s="58"/>
      <c r="K101" s="59"/>
      <c r="L101" s="58"/>
      <c r="M101" s="60"/>
      <c r="N101" s="129"/>
      <c r="O101" s="129"/>
      <c r="P101" s="123"/>
      <c r="Q101" s="123"/>
    </row>
    <row r="102" spans="1:17">
      <c r="A102" s="56"/>
      <c r="B102" s="56"/>
      <c r="C102" s="56"/>
      <c r="D102" s="56"/>
      <c r="E102" s="182"/>
      <c r="F102" s="182"/>
      <c r="G102" s="57"/>
      <c r="H102" s="57"/>
      <c r="I102" s="57"/>
      <c r="J102" s="58"/>
      <c r="K102" s="59"/>
      <c r="L102" s="58"/>
      <c r="M102" s="60"/>
      <c r="N102" s="129"/>
      <c r="O102" s="129"/>
      <c r="P102" s="123"/>
      <c r="Q102" s="123"/>
    </row>
    <row r="103" spans="1:17" ht="15.75" thickBot="1">
      <c r="A103" s="56"/>
      <c r="B103" s="56"/>
      <c r="C103" s="56"/>
      <c r="D103" s="56"/>
      <c r="E103" s="182"/>
      <c r="F103" s="182"/>
      <c r="G103" s="57"/>
      <c r="H103" s="57"/>
      <c r="I103" s="57"/>
      <c r="J103" s="58"/>
      <c r="K103" s="59"/>
      <c r="L103" s="58"/>
      <c r="M103" s="60"/>
      <c r="N103" s="129"/>
      <c r="O103" s="129"/>
      <c r="P103" s="123"/>
      <c r="Q103" s="123"/>
    </row>
    <row r="104" spans="1:17" ht="14.45" customHeight="1">
      <c r="A104" s="56"/>
      <c r="B104" s="56"/>
      <c r="C104" s="56"/>
      <c r="D104" s="56"/>
      <c r="E104" s="182"/>
      <c r="F104" s="182"/>
      <c r="G104" s="57"/>
      <c r="H104" s="57"/>
      <c r="I104" s="57"/>
      <c r="J104" s="58"/>
      <c r="K104" s="495" t="str">
        <f>IF(Q96&gt;0,"Potential savings per m² if increase of insulation preformance or thickness . Total surface must be defined","insulation_ok")</f>
        <v>Potential savings per m² if increase of insulation preformance or thickness . Total surface must be defined</v>
      </c>
      <c r="L104" s="496"/>
      <c r="M104" s="496"/>
      <c r="N104" s="496"/>
      <c r="O104" s="496"/>
      <c r="P104" s="497"/>
      <c r="Q104" s="123"/>
    </row>
    <row r="105" spans="1:17">
      <c r="A105" s="56"/>
      <c r="B105" s="56"/>
      <c r="C105" s="56"/>
      <c r="D105" s="56"/>
      <c r="E105" s="182"/>
      <c r="F105" s="182"/>
      <c r="G105" s="57"/>
      <c r="H105" s="57"/>
      <c r="I105" s="57"/>
      <c r="J105" s="58"/>
      <c r="K105" s="498"/>
      <c r="L105" s="499"/>
      <c r="M105" s="499"/>
      <c r="N105" s="499"/>
      <c r="O105" s="499"/>
      <c r="P105" s="500"/>
      <c r="Q105" s="123"/>
    </row>
    <row r="106" spans="1:17" ht="15.75" thickBot="1">
      <c r="A106" s="56"/>
      <c r="B106" s="56"/>
      <c r="C106" s="56"/>
      <c r="D106" s="56"/>
      <c r="E106" s="182"/>
      <c r="F106" s="182"/>
      <c r="G106" s="57"/>
      <c r="H106" s="57"/>
      <c r="I106" s="57"/>
      <c r="J106" s="58"/>
      <c r="K106" s="501"/>
      <c r="L106" s="502"/>
      <c r="M106" s="502"/>
      <c r="N106" s="502"/>
      <c r="O106" s="502"/>
      <c r="P106" s="503"/>
      <c r="Q106" s="123"/>
    </row>
  </sheetData>
  <mergeCells count="50">
    <mergeCell ref="A76:C76"/>
    <mergeCell ref="A77:C77"/>
    <mergeCell ref="K77:M77"/>
    <mergeCell ref="O73:Q73"/>
    <mergeCell ref="A74:C74"/>
    <mergeCell ref="O74:Q74"/>
    <mergeCell ref="A75:C75"/>
    <mergeCell ref="O75:Q75"/>
    <mergeCell ref="A62:C62"/>
    <mergeCell ref="A63:C63"/>
    <mergeCell ref="O70:T70"/>
    <mergeCell ref="O71:Q71"/>
    <mergeCell ref="O72:Q72"/>
    <mergeCell ref="P43:Q43"/>
    <mergeCell ref="A44:B44"/>
    <mergeCell ref="A45:B45"/>
    <mergeCell ref="K54:P56"/>
    <mergeCell ref="A61:T61"/>
    <mergeCell ref="Q14:R15"/>
    <mergeCell ref="O16:P17"/>
    <mergeCell ref="Q16:R17"/>
    <mergeCell ref="C21:E22"/>
    <mergeCell ref="F21:G22"/>
    <mergeCell ref="H21:H22"/>
    <mergeCell ref="C13:E14"/>
    <mergeCell ref="F13:G14"/>
    <mergeCell ref="H13:H14"/>
    <mergeCell ref="C17:E18"/>
    <mergeCell ref="F17:G18"/>
    <mergeCell ref="M18:N21"/>
    <mergeCell ref="O18:P19"/>
    <mergeCell ref="Q18:R19"/>
    <mergeCell ref="O20:P21"/>
    <mergeCell ref="Q20:R21"/>
    <mergeCell ref="A94:B94"/>
    <mergeCell ref="A95:B95"/>
    <mergeCell ref="A96:B96"/>
    <mergeCell ref="P8:P9"/>
    <mergeCell ref="C5:E6"/>
    <mergeCell ref="K5:M6"/>
    <mergeCell ref="N5:O6"/>
    <mergeCell ref="K8:M9"/>
    <mergeCell ref="N8:O9"/>
    <mergeCell ref="M14:N17"/>
    <mergeCell ref="O14:P15"/>
    <mergeCell ref="A64:C64"/>
    <mergeCell ref="C25:E26"/>
    <mergeCell ref="F25:G26"/>
    <mergeCell ref="H25:H26"/>
    <mergeCell ref="M25:P27"/>
  </mergeCells>
  <conditionalFormatting sqref="F25:G26">
    <cfRule type="cellIs" dxfId="2" priority="1" operator="greaterThan">
      <formula>55</formula>
    </cfRule>
  </conditionalFormatting>
  <dataValidations count="1">
    <dataValidation type="list" allowBlank="1" showInputMessage="1" showErrorMessage="1" promptTitle="Select a value " sqref="F17">
      <formula1>emissivity</formula1>
    </dataValidation>
  </dataValidations>
  <pageMargins left="0.7" right="0.7" top="0.75" bottom="0.75" header="0.3" footer="0.3"/>
  <drawing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532DA3-260E-4BD1-8918-AA0194BAA3DD}">
          <x14:formula1>
            <xm:f>'Default values '!$C$2:$C$10</xm:f>
          </x14:formula1>
          <xm:sqref>N5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>
  <dimension ref="A2:AC11"/>
  <sheetViews>
    <sheetView workbookViewId="0">
      <selection activeCell="A2" sqref="A2:G5"/>
    </sheetView>
  </sheetViews>
  <sheetFormatPr baseColWidth="10" defaultColWidth="9.140625" defaultRowHeight="15"/>
  <sheetData>
    <row r="2" spans="1:29">
      <c r="A2" s="653" t="s">
        <v>510</v>
      </c>
    </row>
    <row r="3" spans="1:29">
      <c r="A3" s="653" t="s">
        <v>511</v>
      </c>
    </row>
    <row r="4" spans="1:29">
      <c r="B4" t="s">
        <v>513</v>
      </c>
    </row>
    <row r="5" spans="1:29">
      <c r="B5" t="s">
        <v>514</v>
      </c>
    </row>
    <row r="6" spans="1:29" s="17" customFormat="1" ht="68.25" thickBot="1">
      <c r="A6" s="802" t="s">
        <v>5</v>
      </c>
      <c r="B6" s="803"/>
      <c r="C6" s="640" t="s">
        <v>158</v>
      </c>
      <c r="D6" s="640" t="s">
        <v>102</v>
      </c>
      <c r="E6" s="640" t="s">
        <v>103</v>
      </c>
      <c r="F6" s="82" t="s">
        <v>40</v>
      </c>
      <c r="G6" s="82" t="s">
        <v>29</v>
      </c>
      <c r="H6" s="82" t="s">
        <v>30</v>
      </c>
      <c r="I6" s="84" t="s">
        <v>78</v>
      </c>
      <c r="J6" s="82" t="s">
        <v>59</v>
      </c>
      <c r="K6" s="82" t="s">
        <v>58</v>
      </c>
      <c r="L6" s="83" t="s">
        <v>13</v>
      </c>
      <c r="M6" s="112" t="s">
        <v>106</v>
      </c>
      <c r="N6" s="83" t="s">
        <v>152</v>
      </c>
      <c r="O6" s="83" t="s">
        <v>105</v>
      </c>
      <c r="P6" s="83" t="s">
        <v>26</v>
      </c>
      <c r="Q6" s="113" t="s">
        <v>107</v>
      </c>
      <c r="R6" s="78" t="s">
        <v>139</v>
      </c>
      <c r="S6" s="80" t="s">
        <v>84</v>
      </c>
      <c r="T6" s="80" t="s">
        <v>85</v>
      </c>
      <c r="U6" s="80"/>
      <c r="V6" s="80"/>
      <c r="W6" s="200"/>
      <c r="X6" s="206"/>
      <c r="Y6" s="114"/>
      <c r="Z6" s="114"/>
      <c r="AA6" s="16"/>
      <c r="AB6" s="16"/>
      <c r="AC6" s="16"/>
    </row>
    <row r="7" spans="1:29" s="17" customFormat="1" ht="15.75" thickBot="1">
      <c r="A7" s="971" t="s">
        <v>512</v>
      </c>
      <c r="B7" s="972"/>
      <c r="C7" s="639">
        <v>100</v>
      </c>
      <c r="D7" s="226">
        <v>100</v>
      </c>
      <c r="E7" s="639">
        <v>1</v>
      </c>
      <c r="F7" s="639">
        <v>120</v>
      </c>
      <c r="G7" s="224">
        <v>10</v>
      </c>
      <c r="H7" s="224">
        <v>20</v>
      </c>
      <c r="I7" s="228">
        <v>0.9</v>
      </c>
      <c r="J7" s="224">
        <v>8760</v>
      </c>
      <c r="K7" s="228">
        <v>0.05</v>
      </c>
      <c r="L7" s="125">
        <v>4.9082424857902351</v>
      </c>
      <c r="M7" s="159">
        <v>3.1938375000000005E-2</v>
      </c>
      <c r="N7" s="126">
        <v>4.5950514302486871</v>
      </c>
      <c r="O7" s="126">
        <v>3.3045911662298564</v>
      </c>
      <c r="P7" s="126">
        <v>9.5032939160389223</v>
      </c>
      <c r="Q7" s="160">
        <v>0.29125749510213061</v>
      </c>
      <c r="R7" s="127">
        <v>72.101148822406316</v>
      </c>
      <c r="S7" s="128">
        <f>R7*J7*E7/1000</f>
        <v>631.60606368427932</v>
      </c>
      <c r="T7" s="174">
        <f>S7*K7</f>
        <v>31.580303184213967</v>
      </c>
      <c r="U7" s="61"/>
      <c r="V7" s="61"/>
      <c r="W7" s="201"/>
      <c r="X7" s="201"/>
      <c r="Y7" s="207"/>
      <c r="Z7" s="117"/>
      <c r="AA7" s="16"/>
      <c r="AB7" s="16"/>
      <c r="AC7" s="16"/>
    </row>
    <row r="8" spans="1:29" s="17" customFormat="1" ht="15.75" thickBot="1">
      <c r="A8" s="971" t="s">
        <v>290</v>
      </c>
      <c r="B8" s="972"/>
      <c r="C8" s="639"/>
      <c r="D8" s="226"/>
      <c r="E8" s="639">
        <v>1</v>
      </c>
      <c r="F8" s="639"/>
      <c r="G8" s="418"/>
      <c r="H8" s="418"/>
      <c r="I8" s="228"/>
      <c r="J8" s="224">
        <v>8760</v>
      </c>
      <c r="K8" s="228">
        <v>0.05</v>
      </c>
      <c r="L8" s="125"/>
      <c r="M8" s="159"/>
      <c r="N8" s="126"/>
      <c r="O8" s="126"/>
      <c r="P8" s="126"/>
      <c r="Q8" s="160"/>
      <c r="R8" s="421">
        <f>R7*0.8</f>
        <v>57.680919057925053</v>
      </c>
      <c r="S8" s="128">
        <f>R8*J8*E8/1000</f>
        <v>505.28485094742348</v>
      </c>
      <c r="T8" s="174">
        <f>S8*K8</f>
        <v>25.264242547371175</v>
      </c>
      <c r="U8" s="79"/>
      <c r="V8" s="79"/>
      <c r="W8" s="201"/>
      <c r="X8" s="205"/>
      <c r="Y8" s="117"/>
      <c r="Z8" s="117"/>
      <c r="AA8" s="16"/>
      <c r="AB8" s="16"/>
      <c r="AC8" s="16"/>
    </row>
    <row r="9" spans="1:29" s="16" customFormat="1" ht="18.75">
      <c r="A9" s="971" t="s">
        <v>291</v>
      </c>
      <c r="B9" s="972"/>
      <c r="C9" s="639"/>
      <c r="D9" s="226"/>
      <c r="E9" s="639">
        <v>1</v>
      </c>
      <c r="F9" s="639"/>
      <c r="G9" s="639"/>
      <c r="H9" s="639"/>
      <c r="I9" s="228"/>
      <c r="J9" s="224">
        <v>8760</v>
      </c>
      <c r="K9" s="228">
        <v>0.05</v>
      </c>
      <c r="L9" s="125"/>
      <c r="M9" s="159"/>
      <c r="N9" s="126"/>
      <c r="O9" s="126"/>
      <c r="P9" s="126"/>
      <c r="Q9" s="160"/>
      <c r="R9" s="421">
        <f>R7*0.5</f>
        <v>36.050574411203158</v>
      </c>
      <c r="S9" s="128">
        <f>R9*J9*E9/1000</f>
        <v>315.80303184213966</v>
      </c>
      <c r="T9" s="174">
        <f>S9*K9</f>
        <v>15.790151592106984</v>
      </c>
      <c r="U9" s="186" t="s">
        <v>61</v>
      </c>
      <c r="V9" s="187" t="s">
        <v>23</v>
      </c>
      <c r="W9" s="201"/>
      <c r="X9" s="205"/>
    </row>
    <row r="10" spans="1:29" s="16" customFormat="1">
      <c r="A10" s="56"/>
      <c r="B10" s="56"/>
      <c r="C10" s="56"/>
      <c r="D10" s="56"/>
      <c r="E10" s="182"/>
      <c r="F10" s="182"/>
      <c r="G10" s="57"/>
      <c r="H10" s="57"/>
      <c r="I10" s="57"/>
      <c r="J10" s="58"/>
      <c r="K10" s="59"/>
      <c r="L10" s="59"/>
      <c r="M10" s="58"/>
      <c r="N10" s="208"/>
      <c r="O10" s="209"/>
      <c r="P10" s="209"/>
      <c r="Q10" s="210"/>
      <c r="R10" s="211"/>
      <c r="S10" s="638"/>
      <c r="T10" s="638"/>
      <c r="U10" s="184">
        <f>S7-S8</f>
        <v>126.32121273685584</v>
      </c>
      <c r="V10" s="79">
        <f>T7-T8</f>
        <v>6.3160606368427921</v>
      </c>
      <c r="W10" s="200"/>
      <c r="X10" s="200"/>
    </row>
    <row r="11" spans="1:29" s="16" customFormat="1">
      <c r="A11" s="56"/>
      <c r="B11" s="56"/>
      <c r="C11" s="57"/>
      <c r="D11" s="57"/>
      <c r="E11" s="183"/>
      <c r="F11" s="59"/>
      <c r="G11" s="57"/>
      <c r="H11" s="57"/>
      <c r="I11" s="57"/>
      <c r="J11" s="58"/>
      <c r="K11" s="59"/>
      <c r="L11" s="58"/>
      <c r="M11" s="60"/>
      <c r="N11" s="123"/>
      <c r="O11" s="123"/>
      <c r="P11" s="129"/>
      <c r="Q11" s="129"/>
      <c r="R11" s="638"/>
      <c r="S11" s="638"/>
      <c r="T11" s="638"/>
      <c r="U11" s="184">
        <f>S7-S9</f>
        <v>315.80303184213966</v>
      </c>
      <c r="V11" s="184">
        <f>T7-T9</f>
        <v>15.790151592106984</v>
      </c>
      <c r="W11" s="199"/>
      <c r="X11" s="199"/>
    </row>
  </sheetData>
  <mergeCells count="4">
    <mergeCell ref="A6:B6"/>
    <mergeCell ref="A7:B7"/>
    <mergeCell ref="A8:B8"/>
    <mergeCell ref="A9:B9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7:Z44"/>
  <sheetViews>
    <sheetView topLeftCell="A19" workbookViewId="0">
      <selection activeCell="T29" sqref="T29"/>
    </sheetView>
  </sheetViews>
  <sheetFormatPr baseColWidth="10" defaultColWidth="8.85546875" defaultRowHeight="15"/>
  <cols>
    <col min="1" max="2" width="5.28515625" style="17" customWidth="1"/>
    <col min="3" max="3" width="13" style="17" customWidth="1"/>
    <col min="4" max="4" width="8.7109375" style="17" customWidth="1"/>
    <col min="5" max="5" width="6.28515625" style="17" customWidth="1"/>
    <col min="6" max="6" width="7.7109375" style="17" customWidth="1"/>
    <col min="7" max="11" width="8.7109375" style="17" customWidth="1"/>
    <col min="12" max="12" width="6.85546875" style="17" customWidth="1"/>
    <col min="13" max="13" width="11.28515625" style="17" customWidth="1"/>
    <col min="14" max="14" width="8.7109375" style="17" customWidth="1"/>
    <col min="15" max="15" width="11" style="17" customWidth="1"/>
    <col min="16" max="17" width="8.7109375" style="17" customWidth="1"/>
    <col min="18" max="18" width="19.5703125" style="17" customWidth="1"/>
    <col min="19" max="19" width="5.7109375" style="17" customWidth="1"/>
    <col min="20" max="26" width="8.85546875" style="16"/>
    <col min="27" max="16384" width="8.85546875" style="17"/>
  </cols>
  <sheetData>
    <row r="7" spans="15:22">
      <c r="O7" s="546" t="s">
        <v>433</v>
      </c>
    </row>
    <row r="8" spans="15:22">
      <c r="O8" s="546"/>
    </row>
    <row r="9" spans="15:22">
      <c r="O9" s="17" t="s">
        <v>434</v>
      </c>
    </row>
    <row r="10" spans="15:22" ht="21">
      <c r="P10" s="8"/>
      <c r="Q10" s="992" t="s">
        <v>313</v>
      </c>
      <c r="R10" s="992"/>
      <c r="S10" s="992"/>
      <c r="T10" s="992" t="s">
        <v>268</v>
      </c>
      <c r="U10" s="992"/>
      <c r="V10" s="992"/>
    </row>
    <row r="11" spans="15:22">
      <c r="P11" s="8"/>
      <c r="Q11" s="793" t="s">
        <v>185</v>
      </c>
      <c r="R11" s="793"/>
      <c r="S11" s="543"/>
      <c r="T11" s="989" t="s">
        <v>314</v>
      </c>
      <c r="U11" s="989"/>
      <c r="V11" s="989"/>
    </row>
    <row r="12" spans="15:22" ht="21">
      <c r="P12" s="31"/>
      <c r="Q12" s="793"/>
      <c r="R12" s="793"/>
      <c r="S12" s="19"/>
      <c r="T12" s="989"/>
      <c r="U12" s="989"/>
      <c r="V12" s="989"/>
    </row>
    <row r="13" spans="15:22" ht="21">
      <c r="P13" s="8"/>
      <c r="Q13" s="793" t="s">
        <v>205</v>
      </c>
      <c r="R13" s="793"/>
      <c r="S13" s="19"/>
      <c r="T13" s="989" t="s">
        <v>194</v>
      </c>
      <c r="U13" s="989"/>
      <c r="V13" s="989"/>
    </row>
    <row r="14" spans="15:22">
      <c r="P14" s="8"/>
      <c r="Q14" s="793"/>
      <c r="R14" s="793"/>
      <c r="S14" s="543"/>
      <c r="T14" s="989"/>
      <c r="U14" s="989"/>
      <c r="V14" s="989"/>
    </row>
    <row r="15" spans="15:22" ht="21">
      <c r="P15" s="8"/>
      <c r="Q15" s="793" t="s">
        <v>186</v>
      </c>
      <c r="R15" s="793"/>
      <c r="S15" s="19"/>
      <c r="T15" s="989" t="s">
        <v>315</v>
      </c>
      <c r="U15" s="989"/>
      <c r="V15" s="989"/>
    </row>
    <row r="16" spans="15:22">
      <c r="P16" s="8"/>
      <c r="Q16" s="793"/>
      <c r="R16" s="793"/>
      <c r="S16" s="543"/>
      <c r="T16" s="989"/>
      <c r="U16" s="989"/>
      <c r="V16" s="989"/>
    </row>
    <row r="17" spans="1:22" ht="21">
      <c r="P17" s="8"/>
      <c r="Q17" s="793" t="s">
        <v>187</v>
      </c>
      <c r="R17" s="793"/>
      <c r="S17" s="19"/>
      <c r="T17" s="989" t="s">
        <v>187</v>
      </c>
      <c r="U17" s="989"/>
      <c r="V17" s="989"/>
    </row>
    <row r="18" spans="1:22" ht="15.75" thickBot="1">
      <c r="P18" s="10"/>
      <c r="Q18" s="990"/>
      <c r="R18" s="990"/>
      <c r="S18" s="11"/>
      <c r="T18" s="991"/>
      <c r="U18" s="991"/>
      <c r="V18" s="991"/>
    </row>
    <row r="19" spans="1:22" ht="15.75" thickTop="1"/>
    <row r="21" spans="1:22">
      <c r="Q21" s="546" t="s">
        <v>436</v>
      </c>
    </row>
    <row r="24" spans="1:22">
      <c r="T24" s="546" t="s">
        <v>436</v>
      </c>
    </row>
    <row r="27" spans="1:22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</row>
    <row r="28" spans="1:22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</row>
    <row r="29" spans="1:22">
      <c r="A29" s="17" t="s">
        <v>432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</row>
    <row r="30" spans="1:22">
      <c r="B30" s="16" t="s">
        <v>188</v>
      </c>
      <c r="C30" s="16"/>
      <c r="D30" s="16" t="s">
        <v>435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</row>
    <row r="31" spans="1:22">
      <c r="B31" s="16" t="s">
        <v>185</v>
      </c>
      <c r="C31" s="16"/>
      <c r="D31" s="16" t="s">
        <v>191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</row>
    <row r="32" spans="1:22">
      <c r="B32" s="16" t="s">
        <v>189</v>
      </c>
      <c r="C32" s="16"/>
      <c r="D32" s="16" t="s">
        <v>192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</row>
    <row r="33" spans="2:15">
      <c r="B33" s="16" t="s">
        <v>190</v>
      </c>
      <c r="C33" s="16"/>
      <c r="D33" s="16" t="s">
        <v>193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</row>
    <row r="34" spans="2:15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</row>
    <row r="35" spans="2:15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</row>
    <row r="37" spans="2:15">
      <c r="B37" s="341" t="s">
        <v>195</v>
      </c>
    </row>
    <row r="39" spans="2:15">
      <c r="B39" s="16" t="s">
        <v>316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</row>
    <row r="40" spans="2:15">
      <c r="B40" s="16"/>
      <c r="C40" s="16" t="s">
        <v>188</v>
      </c>
      <c r="D40" s="16"/>
      <c r="E40" s="16" t="s">
        <v>199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</row>
    <row r="41" spans="2:15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</row>
    <row r="42" spans="2:15">
      <c r="B42" s="16"/>
      <c r="C42" s="16" t="s">
        <v>196</v>
      </c>
      <c r="D42" s="16"/>
      <c r="E42" s="16" t="s">
        <v>200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</row>
    <row r="43" spans="2:15">
      <c r="B43" s="16"/>
      <c r="C43" s="16" t="s">
        <v>197</v>
      </c>
      <c r="D43" s="16"/>
      <c r="E43" s="16" t="s">
        <v>202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</row>
    <row r="44" spans="2:15">
      <c r="B44" s="16"/>
      <c r="C44" s="16" t="s">
        <v>198</v>
      </c>
      <c r="D44" s="16"/>
      <c r="E44" s="16" t="s">
        <v>201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</row>
  </sheetData>
  <mergeCells count="10">
    <mergeCell ref="Q15:R16"/>
    <mergeCell ref="T15:V16"/>
    <mergeCell ref="Q17:R18"/>
    <mergeCell ref="T17:V18"/>
    <mergeCell ref="Q10:S10"/>
    <mergeCell ref="T10:V10"/>
    <mergeCell ref="Q11:R12"/>
    <mergeCell ref="T11:V12"/>
    <mergeCell ref="Q13:R14"/>
    <mergeCell ref="T13:V14"/>
  </mergeCells>
  <hyperlinks>
    <hyperlink ref="B37" r:id="rId1"/>
  </hyperlinks>
  <pageMargins left="0.7" right="0.7" top="0.75" bottom="0.75" header="0.3" footer="0.3"/>
  <pageSetup orientation="portrait" r:id="rId2"/>
  <drawing r:id="rId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Y100"/>
  <sheetViews>
    <sheetView workbookViewId="0">
      <selection activeCell="L25" sqref="L25"/>
    </sheetView>
  </sheetViews>
  <sheetFormatPr baseColWidth="10" defaultColWidth="9.140625" defaultRowHeight="15"/>
  <cols>
    <col min="1" max="1" width="4" customWidth="1"/>
    <col min="2" max="17" width="7.7109375" customWidth="1"/>
    <col min="18" max="18" width="4.5703125" customWidth="1"/>
    <col min="19" max="25" width="8.85546875" style="2"/>
  </cols>
  <sheetData>
    <row r="1" spans="1:2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23" ht="18" customHeight="1" thickBot="1">
      <c r="A2" s="1"/>
      <c r="B2" s="768"/>
      <c r="C2" s="768"/>
      <c r="D2" s="768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767"/>
      <c r="P2" s="767"/>
      <c r="Q2" s="3"/>
      <c r="R2" s="3"/>
    </row>
    <row r="3" spans="1:23" ht="13.9" customHeight="1" thickTop="1" thickBot="1">
      <c r="A3" s="1"/>
      <c r="B3" s="5"/>
      <c r="C3" s="105"/>
      <c r="D3" s="6"/>
      <c r="E3" s="6"/>
      <c r="F3" s="6"/>
      <c r="G3" s="6"/>
      <c r="H3" s="6"/>
      <c r="I3" s="6"/>
      <c r="J3" s="6"/>
      <c r="K3" s="6"/>
      <c r="L3" s="105"/>
      <c r="M3" s="6"/>
      <c r="N3" s="6"/>
      <c r="O3" s="6"/>
      <c r="P3" s="6"/>
      <c r="Q3" s="7"/>
      <c r="R3" s="1"/>
    </row>
    <row r="4" spans="1:23" ht="13.9" customHeight="1" thickTop="1">
      <c r="A4" s="1"/>
      <c r="B4" s="8"/>
      <c r="C4" s="769"/>
      <c r="D4" s="770"/>
      <c r="E4" s="317"/>
      <c r="F4" s="769"/>
      <c r="G4" s="770"/>
      <c r="H4" s="317"/>
      <c r="I4" s="769"/>
      <c r="J4" s="770"/>
      <c r="K4" s="317"/>
      <c r="L4" s="769"/>
      <c r="M4" s="770"/>
      <c r="N4" s="317"/>
      <c r="O4" s="769"/>
      <c r="P4" s="770"/>
      <c r="Q4" s="9"/>
      <c r="R4" s="1"/>
    </row>
    <row r="5" spans="1:23" ht="13.9" customHeight="1" thickBot="1">
      <c r="A5" s="1"/>
      <c r="B5" s="8"/>
      <c r="C5" s="771"/>
      <c r="D5" s="772"/>
      <c r="E5" s="317"/>
      <c r="F5" s="771"/>
      <c r="G5" s="772"/>
      <c r="H5" s="15"/>
      <c r="I5" s="771"/>
      <c r="J5" s="772"/>
      <c r="K5" s="317"/>
      <c r="L5" s="771"/>
      <c r="M5" s="772"/>
      <c r="N5" s="317"/>
      <c r="O5" s="771"/>
      <c r="P5" s="772"/>
      <c r="Q5" s="9"/>
      <c r="R5" s="1"/>
    </row>
    <row r="6" spans="1:23" ht="13.9" customHeight="1" thickTop="1">
      <c r="A6" s="1"/>
      <c r="B6" s="8"/>
      <c r="C6" s="771"/>
      <c r="D6" s="772"/>
      <c r="E6" s="317"/>
      <c r="F6" s="771"/>
      <c r="G6" s="772"/>
      <c r="H6" s="15"/>
      <c r="I6" s="771"/>
      <c r="J6" s="772"/>
      <c r="K6" s="317"/>
      <c r="L6" s="771"/>
      <c r="M6" s="772"/>
      <c r="N6" s="317"/>
      <c r="O6" s="771"/>
      <c r="P6" s="772"/>
      <c r="Q6" s="9"/>
      <c r="R6" s="1"/>
      <c r="V6" s="782"/>
      <c r="W6" s="783"/>
    </row>
    <row r="7" spans="1:23" ht="13.9" customHeight="1" thickBot="1">
      <c r="A7" s="1"/>
      <c r="B7" s="8"/>
      <c r="C7" s="773"/>
      <c r="D7" s="774"/>
      <c r="E7" s="317"/>
      <c r="F7" s="773"/>
      <c r="G7" s="774"/>
      <c r="H7" s="15"/>
      <c r="I7" s="773"/>
      <c r="J7" s="774"/>
      <c r="K7" s="317"/>
      <c r="L7" s="773"/>
      <c r="M7" s="774"/>
      <c r="N7" s="317"/>
      <c r="O7" s="773"/>
      <c r="P7" s="774"/>
      <c r="Q7" s="9"/>
      <c r="R7" s="1"/>
      <c r="V7" s="784"/>
      <c r="W7" s="785"/>
    </row>
    <row r="8" spans="1:23" ht="13.9" customHeight="1" thickTop="1">
      <c r="A8" s="1"/>
      <c r="B8" s="8"/>
      <c r="C8" s="776" t="s">
        <v>2</v>
      </c>
      <c r="D8" s="776"/>
      <c r="E8" s="317"/>
      <c r="F8" s="776" t="s">
        <v>177</v>
      </c>
      <c r="G8" s="776"/>
      <c r="H8" s="15"/>
      <c r="I8" s="776" t="s">
        <v>3</v>
      </c>
      <c r="J8" s="776"/>
      <c r="K8" s="317"/>
      <c r="L8" s="776" t="s">
        <v>4</v>
      </c>
      <c r="M8" s="776"/>
      <c r="N8" s="317"/>
      <c r="O8" s="776" t="s">
        <v>376</v>
      </c>
      <c r="P8" s="776"/>
      <c r="Q8" s="9"/>
      <c r="R8" s="1"/>
      <c r="V8" s="784"/>
      <c r="W8" s="785"/>
    </row>
    <row r="9" spans="1:23" ht="13.9" customHeight="1" thickBot="1">
      <c r="A9" s="1"/>
      <c r="B9" s="10"/>
      <c r="C9" s="11"/>
      <c r="D9" s="11"/>
      <c r="E9" s="11"/>
      <c r="F9" s="55"/>
      <c r="G9" s="55"/>
      <c r="H9" s="55"/>
      <c r="I9" s="11"/>
      <c r="J9" s="11"/>
      <c r="K9" s="11"/>
      <c r="L9" s="11"/>
      <c r="M9" s="11"/>
      <c r="N9" s="11"/>
      <c r="O9" s="108"/>
      <c r="P9" s="107"/>
      <c r="Q9" s="12"/>
      <c r="R9" s="1"/>
      <c r="V9" s="786"/>
      <c r="W9" s="787"/>
    </row>
    <row r="10" spans="1:23" ht="23.45" customHeight="1" thickTop="1" thickBot="1">
      <c r="A10" s="1"/>
      <c r="B10" s="317"/>
      <c r="C10" s="317"/>
      <c r="D10" s="317"/>
      <c r="E10" s="317"/>
      <c r="F10" s="317"/>
      <c r="G10" s="317"/>
      <c r="H10" s="317"/>
      <c r="I10" s="317"/>
      <c r="J10" s="317"/>
      <c r="K10" s="317"/>
      <c r="L10" s="317"/>
      <c r="M10" s="317"/>
      <c r="N10" s="317"/>
      <c r="O10" s="317"/>
      <c r="P10" s="317"/>
      <c r="Q10" s="1"/>
      <c r="R10" s="1"/>
      <c r="V10" s="788"/>
      <c r="W10" s="788"/>
    </row>
    <row r="11" spans="1:23" ht="13.9" customHeight="1" thickTop="1" thickBot="1">
      <c r="A11" s="1"/>
      <c r="B11" s="5"/>
      <c r="C11" s="105"/>
      <c r="D11" s="6"/>
      <c r="E11" s="6"/>
      <c r="F11" s="6"/>
      <c r="G11" s="6"/>
      <c r="H11" s="6"/>
      <c r="I11" s="6"/>
      <c r="J11" s="6"/>
      <c r="K11" s="6"/>
      <c r="L11" s="105"/>
      <c r="M11" s="6"/>
      <c r="N11" s="6"/>
      <c r="O11" s="6"/>
      <c r="P11" s="6"/>
      <c r="Q11" s="7"/>
      <c r="R11" s="1"/>
      <c r="V11" s="789"/>
      <c r="W11" s="789"/>
    </row>
    <row r="12" spans="1:23" ht="13.9" customHeight="1" thickTop="1">
      <c r="A12" s="1"/>
      <c r="B12" s="8"/>
      <c r="C12" s="769"/>
      <c r="D12" s="770"/>
      <c r="E12" s="317"/>
      <c r="F12" s="769"/>
      <c r="G12" s="770"/>
      <c r="H12" s="317"/>
      <c r="I12" s="347"/>
      <c r="J12" s="348"/>
      <c r="K12" s="317"/>
      <c r="L12" s="15"/>
      <c r="M12" s="15"/>
      <c r="N12" s="317"/>
      <c r="O12" s="750"/>
      <c r="P12" s="750"/>
      <c r="Q12" s="9"/>
      <c r="R12" s="1"/>
    </row>
    <row r="13" spans="1:23" ht="13.9" customHeight="1">
      <c r="A13" s="1"/>
      <c r="B13" s="8"/>
      <c r="C13" s="771"/>
      <c r="D13" s="772"/>
      <c r="E13" s="317"/>
      <c r="F13" s="771"/>
      <c r="G13" s="772"/>
      <c r="H13" s="15"/>
      <c r="I13" s="342"/>
      <c r="J13" s="346"/>
      <c r="K13" s="317"/>
      <c r="L13" s="15"/>
      <c r="M13" s="15"/>
      <c r="N13" s="317"/>
      <c r="O13" s="750"/>
      <c r="P13" s="750"/>
      <c r="Q13" s="9"/>
      <c r="R13" s="1"/>
    </row>
    <row r="14" spans="1:23" ht="13.9" customHeight="1">
      <c r="A14" s="1"/>
      <c r="B14" s="8"/>
      <c r="C14" s="771"/>
      <c r="D14" s="772"/>
      <c r="E14" s="317"/>
      <c r="F14" s="771"/>
      <c r="G14" s="772"/>
      <c r="H14" s="15"/>
      <c r="I14" s="342"/>
      <c r="J14" s="346"/>
      <c r="K14" s="19"/>
      <c r="L14" s="15"/>
      <c r="M14" s="15"/>
      <c r="N14" s="317"/>
      <c r="O14" s="750"/>
      <c r="P14" s="750"/>
      <c r="Q14" s="9"/>
      <c r="R14" s="1"/>
    </row>
    <row r="15" spans="1:23" ht="13.9" customHeight="1" thickBot="1">
      <c r="A15" s="1"/>
      <c r="B15" s="8"/>
      <c r="C15" s="773"/>
      <c r="D15" s="774"/>
      <c r="E15" s="317"/>
      <c r="F15" s="773"/>
      <c r="G15" s="774"/>
      <c r="H15" s="15"/>
      <c r="I15" s="349"/>
      <c r="J15" s="350"/>
      <c r="K15" s="19"/>
      <c r="L15" s="15"/>
      <c r="M15" s="15"/>
      <c r="N15" s="317"/>
      <c r="O15" s="750"/>
      <c r="P15" s="750"/>
      <c r="Q15" s="9"/>
      <c r="R15" s="1"/>
    </row>
    <row r="16" spans="1:23" ht="13.9" customHeight="1" thickTop="1">
      <c r="A16" s="1"/>
      <c r="B16" s="8"/>
      <c r="C16" s="776" t="s">
        <v>2</v>
      </c>
      <c r="D16" s="776"/>
      <c r="E16" s="317"/>
      <c r="F16" s="776" t="s">
        <v>43</v>
      </c>
      <c r="G16" s="776"/>
      <c r="H16" s="15"/>
      <c r="I16" s="993" t="s">
        <v>376</v>
      </c>
      <c r="J16" s="993"/>
      <c r="K16" s="317"/>
      <c r="L16" s="995"/>
      <c r="M16" s="996"/>
      <c r="N16" s="317"/>
      <c r="O16" s="995"/>
      <c r="P16" s="995"/>
      <c r="Q16" s="9"/>
      <c r="R16" s="1"/>
    </row>
    <row r="17" spans="1:18" ht="13.9" customHeight="1" thickBot="1">
      <c r="A17" s="1"/>
      <c r="B17" s="10"/>
      <c r="C17" s="11"/>
      <c r="D17" s="11"/>
      <c r="E17" s="11"/>
      <c r="F17" s="55"/>
      <c r="G17" s="55"/>
      <c r="H17" s="55"/>
      <c r="I17" s="994"/>
      <c r="J17" s="994"/>
      <c r="K17" s="106"/>
      <c r="L17" s="997"/>
      <c r="M17" s="997"/>
      <c r="N17" s="11"/>
      <c r="O17" s="994"/>
      <c r="P17" s="994"/>
      <c r="Q17" s="12"/>
      <c r="R17" s="1"/>
    </row>
    <row r="18" spans="1:18" ht="25.9" customHeight="1" thickTop="1">
      <c r="A18" s="1"/>
      <c r="B18" s="317"/>
      <c r="C18" s="317"/>
      <c r="D18" s="317"/>
      <c r="E18" s="317"/>
      <c r="F18" s="317"/>
      <c r="G18" s="317"/>
      <c r="H18" s="317"/>
      <c r="I18" s="317"/>
      <c r="J18" s="317"/>
      <c r="K18" s="317"/>
      <c r="L18" s="317"/>
      <c r="M18" s="317"/>
      <c r="N18" s="317"/>
      <c r="O18" s="317"/>
      <c r="P18" s="317"/>
      <c r="Q18" s="1"/>
      <c r="R18" s="1"/>
    </row>
    <row r="19" spans="1:18">
      <c r="A19" s="317"/>
      <c r="B19" s="103" t="s">
        <v>208</v>
      </c>
      <c r="C19" s="317"/>
      <c r="D19" s="317"/>
      <c r="E19" s="317"/>
      <c r="F19" s="317"/>
      <c r="G19" s="317"/>
      <c r="H19" s="317"/>
      <c r="I19" s="317"/>
      <c r="J19" s="317"/>
      <c r="K19" s="317"/>
      <c r="L19" s="317"/>
      <c r="M19" s="317"/>
      <c r="N19" s="317"/>
      <c r="O19" s="317"/>
      <c r="P19" s="317"/>
      <c r="Q19" s="1"/>
      <c r="R19" s="1"/>
    </row>
    <row r="20" spans="1:18">
      <c r="A20" s="317"/>
      <c r="B20" s="103" t="s">
        <v>244</v>
      </c>
      <c r="C20" s="15"/>
      <c r="D20" s="15"/>
      <c r="E20" s="317"/>
      <c r="F20" s="15"/>
      <c r="G20" s="15"/>
      <c r="H20" s="317"/>
      <c r="I20" s="15"/>
      <c r="J20" s="15"/>
      <c r="K20" s="317"/>
      <c r="L20" s="15"/>
      <c r="M20" s="15"/>
      <c r="N20" s="317"/>
      <c r="O20" s="317"/>
      <c r="P20" s="317"/>
      <c r="Q20" s="1"/>
      <c r="R20" s="1"/>
    </row>
    <row r="21" spans="1:18">
      <c r="A21" s="317"/>
      <c r="B21" s="103" t="s">
        <v>375</v>
      </c>
      <c r="C21" s="15"/>
      <c r="D21" s="15"/>
      <c r="E21" s="317"/>
      <c r="F21" s="15"/>
      <c r="G21" s="15"/>
      <c r="H21" s="317"/>
      <c r="I21" s="15"/>
      <c r="J21" s="15"/>
      <c r="K21" s="317"/>
      <c r="L21" s="15"/>
      <c r="M21" s="15"/>
      <c r="N21" s="317"/>
      <c r="O21" s="317"/>
      <c r="P21" s="317"/>
      <c r="Q21" s="1"/>
      <c r="R21" s="1"/>
    </row>
    <row r="22" spans="1:18">
      <c r="A22" s="317"/>
      <c r="B22" s="103" t="s">
        <v>245</v>
      </c>
      <c r="C22" s="15"/>
      <c r="D22" s="15"/>
      <c r="E22" s="317"/>
      <c r="F22" s="15"/>
      <c r="G22" s="15"/>
      <c r="H22" s="317"/>
      <c r="I22" s="15"/>
      <c r="J22" s="15"/>
      <c r="K22" s="317"/>
      <c r="L22" s="15"/>
      <c r="M22" s="15"/>
      <c r="N22" s="317"/>
      <c r="O22" s="317"/>
      <c r="P22" s="317"/>
      <c r="Q22" s="1"/>
      <c r="R22" s="1"/>
    </row>
    <row r="23" spans="1:18">
      <c r="A23" s="317"/>
      <c r="B23" s="365"/>
      <c r="C23" s="15"/>
      <c r="D23" s="15"/>
      <c r="E23" s="317"/>
      <c r="F23" s="15"/>
      <c r="G23" s="15"/>
      <c r="H23" s="317"/>
      <c r="I23" s="15"/>
      <c r="J23" s="15"/>
      <c r="K23" s="317"/>
      <c r="L23" s="15"/>
      <c r="M23" s="15"/>
      <c r="N23" s="317"/>
      <c r="O23" s="317"/>
      <c r="P23" s="317"/>
      <c r="Q23" s="1"/>
      <c r="R23" s="1"/>
    </row>
    <row r="24" spans="1:18" ht="15" customHeight="1">
      <c r="A24" s="317"/>
      <c r="B24" s="317"/>
      <c r="C24" s="995"/>
      <c r="D24" s="995"/>
      <c r="E24" s="317"/>
      <c r="F24" s="995"/>
      <c r="G24" s="995"/>
      <c r="H24" s="317"/>
      <c r="I24" s="995"/>
      <c r="J24" s="995"/>
      <c r="K24" s="317"/>
      <c r="L24" s="343"/>
      <c r="M24" s="343"/>
      <c r="N24" s="317"/>
      <c r="O24" s="317"/>
      <c r="P24" s="1"/>
      <c r="Q24" s="1"/>
      <c r="R24" s="1"/>
    </row>
    <row r="25" spans="1:18" ht="15" customHeight="1">
      <c r="A25" s="317"/>
      <c r="B25" s="317"/>
      <c r="C25" s="995"/>
      <c r="D25" s="995"/>
      <c r="E25" s="317"/>
      <c r="F25" s="995"/>
      <c r="G25" s="995"/>
      <c r="H25" s="317"/>
      <c r="I25" s="995"/>
      <c r="J25" s="995"/>
      <c r="K25" s="317"/>
      <c r="L25" s="343"/>
      <c r="M25" s="343"/>
      <c r="N25" s="317"/>
      <c r="O25" s="317"/>
      <c r="P25" s="1"/>
      <c r="Q25" s="1"/>
      <c r="R25" s="1"/>
    </row>
    <row r="26" spans="1:18">
      <c r="A26" s="1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"/>
    </row>
    <row r="27" spans="1:18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20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20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20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20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20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20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20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20">
      <c r="A40" s="317"/>
      <c r="B40" s="317"/>
      <c r="C40" s="317"/>
      <c r="D40" s="317"/>
      <c r="E40" s="317"/>
      <c r="F40" s="317"/>
      <c r="G40" s="317"/>
      <c r="H40" s="317"/>
      <c r="I40" s="317"/>
      <c r="J40" s="317"/>
      <c r="K40" s="317"/>
      <c r="L40" s="317"/>
      <c r="M40" s="317"/>
      <c r="N40" s="317"/>
      <c r="O40" s="317"/>
      <c r="P40" s="317"/>
      <c r="Q40" s="317"/>
      <c r="R40" s="317"/>
      <c r="S40" s="317"/>
      <c r="T40" s="16"/>
    </row>
    <row r="41" spans="1:20">
      <c r="A41" s="317"/>
      <c r="B41" s="15"/>
      <c r="C41" s="15"/>
      <c r="D41" s="15"/>
      <c r="E41" s="15"/>
      <c r="F41" s="15"/>
      <c r="G41" s="317"/>
      <c r="H41" s="317"/>
      <c r="I41" s="317"/>
      <c r="J41" s="317"/>
      <c r="K41" s="317"/>
      <c r="L41" s="317"/>
      <c r="M41" s="317"/>
      <c r="N41" s="317"/>
      <c r="O41" s="317"/>
      <c r="P41" s="317"/>
      <c r="Q41" s="317"/>
      <c r="R41" s="317"/>
      <c r="S41" s="317"/>
      <c r="T41" s="16"/>
    </row>
    <row r="42" spans="1:20">
      <c r="A42" s="317"/>
      <c r="B42" s="21"/>
      <c r="C42" s="21"/>
      <c r="D42" s="21"/>
      <c r="E42" s="21"/>
      <c r="F42" s="21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317"/>
      <c r="T42" s="16"/>
    </row>
    <row r="43" spans="1:20">
      <c r="A43" s="317"/>
      <c r="B43" s="317"/>
      <c r="C43" s="317"/>
      <c r="D43" s="317"/>
      <c r="E43" s="317"/>
      <c r="F43" s="317"/>
      <c r="G43" s="317"/>
      <c r="H43" s="317"/>
      <c r="I43" s="317"/>
      <c r="J43" s="317"/>
      <c r="K43" s="317"/>
      <c r="L43" s="317"/>
      <c r="M43" s="317"/>
      <c r="N43" s="317"/>
      <c r="O43" s="317"/>
      <c r="P43" s="317"/>
      <c r="Q43" s="317"/>
      <c r="R43" s="317"/>
      <c r="S43" s="317"/>
      <c r="T43" s="24"/>
    </row>
    <row r="44" spans="1:20" ht="18.75">
      <c r="A44" s="26"/>
      <c r="B44" s="28"/>
      <c r="C44" s="797" t="s">
        <v>15</v>
      </c>
      <c r="D44" s="797"/>
      <c r="E44" s="797"/>
      <c r="F44" s="32" t="s">
        <v>37</v>
      </c>
      <c r="G44" s="998" t="s">
        <v>207</v>
      </c>
      <c r="H44" s="998"/>
      <c r="I44" s="998"/>
      <c r="J44" s="998"/>
      <c r="K44" s="799" t="s">
        <v>14</v>
      </c>
      <c r="L44" s="799"/>
      <c r="M44" s="799"/>
      <c r="N44" s="850" t="s">
        <v>20</v>
      </c>
      <c r="O44" s="850"/>
      <c r="P44" s="32">
        <f>VLOOKUP(N44,'Default values '!C2:D10,2,TRUE)</f>
        <v>5000</v>
      </c>
      <c r="Q44" s="28"/>
      <c r="R44" s="28"/>
      <c r="S44" s="28"/>
      <c r="T44" s="25"/>
    </row>
    <row r="45" spans="1:20" ht="18.75">
      <c r="A45" s="317"/>
      <c r="B45" s="14"/>
      <c r="C45" s="797"/>
      <c r="D45" s="797"/>
      <c r="E45" s="797"/>
      <c r="F45" s="32"/>
      <c r="G45" s="998"/>
      <c r="H45" s="998"/>
      <c r="I45" s="998"/>
      <c r="J45" s="998"/>
      <c r="K45" s="799"/>
      <c r="L45" s="799"/>
      <c r="M45" s="799"/>
      <c r="N45" s="850"/>
      <c r="O45" s="850"/>
      <c r="P45" s="14"/>
      <c r="Q45" s="14"/>
      <c r="R45" s="14"/>
      <c r="S45" s="14"/>
      <c r="T45" s="16"/>
    </row>
    <row r="46" spans="1:20" ht="21">
      <c r="A46" s="317"/>
      <c r="B46" s="14"/>
      <c r="C46" s="318"/>
      <c r="D46" s="318"/>
      <c r="E46" s="318"/>
      <c r="F46" s="42"/>
      <c r="G46" s="998"/>
      <c r="H46" s="998"/>
      <c r="I46" s="998"/>
      <c r="J46" s="998"/>
      <c r="K46" s="14"/>
      <c r="L46" s="14"/>
      <c r="M46" s="14"/>
      <c r="N46" s="344"/>
      <c r="O46" s="344"/>
      <c r="P46" s="14"/>
      <c r="Q46" s="14"/>
      <c r="R46" s="14"/>
      <c r="S46" s="14"/>
      <c r="T46" s="16"/>
    </row>
    <row r="47" spans="1:20" ht="21">
      <c r="A47" s="317"/>
      <c r="B47" s="14"/>
      <c r="C47" s="318"/>
      <c r="D47" s="318"/>
      <c r="E47" s="318"/>
      <c r="F47" s="42"/>
      <c r="G47" s="998"/>
      <c r="H47" s="998"/>
      <c r="I47" s="998"/>
      <c r="J47" s="998"/>
      <c r="K47" s="799" t="s">
        <v>39</v>
      </c>
      <c r="L47" s="799"/>
      <c r="M47" s="799"/>
      <c r="N47" s="850">
        <v>19</v>
      </c>
      <c r="O47" s="850"/>
      <c r="P47" s="793" t="s">
        <v>22</v>
      </c>
      <c r="Q47" s="14"/>
      <c r="R47" s="14"/>
      <c r="S47" s="14"/>
      <c r="T47" s="16"/>
    </row>
    <row r="48" spans="1:20" ht="21">
      <c r="A48" s="317"/>
      <c r="B48" s="14"/>
      <c r="C48" s="318"/>
      <c r="D48" s="318"/>
      <c r="E48" s="318"/>
      <c r="F48" s="42"/>
      <c r="G48" s="998"/>
      <c r="H48" s="998"/>
      <c r="I48" s="998"/>
      <c r="J48" s="998"/>
      <c r="K48" s="799"/>
      <c r="L48" s="799"/>
      <c r="M48" s="799"/>
      <c r="N48" s="850"/>
      <c r="O48" s="850"/>
      <c r="P48" s="793"/>
      <c r="Q48" s="26"/>
      <c r="R48" s="26"/>
      <c r="S48" s="26"/>
      <c r="T48" s="16"/>
    </row>
    <row r="49" spans="1:20" ht="21">
      <c r="A49" s="317"/>
      <c r="B49" s="14"/>
      <c r="C49" s="318"/>
      <c r="D49" s="318"/>
      <c r="E49" s="318"/>
      <c r="F49" s="42"/>
      <c r="G49" s="42"/>
      <c r="H49" s="42"/>
      <c r="I49" s="317"/>
      <c r="J49" s="317"/>
      <c r="K49" s="317"/>
      <c r="L49" s="317"/>
      <c r="M49" s="317"/>
      <c r="N49" s="317"/>
      <c r="O49" s="317"/>
      <c r="P49" s="317"/>
      <c r="Q49" s="317"/>
      <c r="R49" s="317"/>
      <c r="S49" s="317"/>
      <c r="T49" s="22"/>
    </row>
    <row r="50" spans="1:20" ht="19.5" thickBot="1">
      <c r="A50" s="317"/>
      <c r="B50" s="14"/>
      <c r="C50" s="14"/>
      <c r="D50" s="14"/>
      <c r="E50" s="14"/>
      <c r="F50" s="14"/>
      <c r="G50" s="14"/>
      <c r="H50" s="14"/>
      <c r="I50" s="317"/>
      <c r="J50" s="317"/>
      <c r="K50" s="317"/>
      <c r="L50" s="317"/>
      <c r="M50" s="317"/>
      <c r="N50" s="317"/>
      <c r="O50" s="317"/>
      <c r="P50" s="317"/>
      <c r="Q50" s="317"/>
      <c r="R50" s="317"/>
      <c r="S50" s="317"/>
      <c r="T50" s="16" t="s">
        <v>111</v>
      </c>
    </row>
    <row r="51" spans="1:20" ht="21.75" thickTop="1">
      <c r="A51" s="317"/>
      <c r="B51" s="29"/>
      <c r="C51" s="30"/>
      <c r="D51" s="30"/>
      <c r="E51" s="30"/>
      <c r="F51" s="30"/>
      <c r="G51" s="30"/>
      <c r="H51" s="30"/>
      <c r="I51" s="6"/>
      <c r="J51" s="6"/>
      <c r="K51" s="48"/>
      <c r="L51" s="317"/>
      <c r="M51" s="15"/>
      <c r="N51" s="15"/>
      <c r="O51" s="15"/>
      <c r="P51" s="15"/>
      <c r="Q51" s="15"/>
      <c r="R51" s="15"/>
      <c r="S51" s="317"/>
      <c r="T51" s="16"/>
    </row>
    <row r="52" spans="1:20">
      <c r="A52" s="26"/>
      <c r="B52" s="31"/>
      <c r="C52" s="793" t="s">
        <v>7</v>
      </c>
      <c r="D52" s="793"/>
      <c r="E52" s="793"/>
      <c r="F52" s="850">
        <v>100</v>
      </c>
      <c r="G52" s="850"/>
      <c r="H52" s="793" t="s">
        <v>8</v>
      </c>
      <c r="I52" s="26"/>
      <c r="J52" s="26"/>
      <c r="K52" s="46"/>
      <c r="L52" s="26"/>
      <c r="M52" s="41"/>
      <c r="N52" s="41"/>
      <c r="O52" s="41"/>
      <c r="P52" s="41"/>
      <c r="Q52" s="41"/>
      <c r="R52" s="41"/>
      <c r="S52" s="26"/>
      <c r="T52" s="16"/>
    </row>
    <row r="53" spans="1:20">
      <c r="A53" s="317"/>
      <c r="B53" s="8"/>
      <c r="C53" s="793"/>
      <c r="D53" s="793"/>
      <c r="E53" s="793"/>
      <c r="F53" s="850"/>
      <c r="G53" s="850"/>
      <c r="H53" s="793"/>
      <c r="I53" s="15"/>
      <c r="J53" s="26"/>
      <c r="K53" s="46"/>
      <c r="L53" s="26"/>
      <c r="M53" s="851" t="str">
        <f>IF(O53="","","Heat loss")</f>
        <v/>
      </c>
      <c r="N53" s="851"/>
      <c r="O53" s="939" t="str">
        <f>IF(Surface!N85=0,"",Surface!N85)</f>
        <v/>
      </c>
      <c r="P53" s="939"/>
      <c r="Q53" s="839" t="str">
        <f>IF(O53="","","kWh/a")</f>
        <v/>
      </c>
      <c r="R53" s="839"/>
      <c r="S53" s="317"/>
      <c r="T53" s="22"/>
    </row>
    <row r="54" spans="1:20" ht="21">
      <c r="A54" s="317"/>
      <c r="B54" s="8"/>
      <c r="C54" s="317"/>
      <c r="D54" s="317"/>
      <c r="E54" s="317"/>
      <c r="F54" s="315"/>
      <c r="G54" s="315"/>
      <c r="H54" s="317"/>
      <c r="I54" s="15"/>
      <c r="J54" s="15"/>
      <c r="K54" s="40"/>
      <c r="L54" s="15"/>
      <c r="M54" s="851"/>
      <c r="N54" s="851"/>
      <c r="O54" s="939"/>
      <c r="P54" s="939"/>
      <c r="Q54" s="839"/>
      <c r="R54" s="839"/>
      <c r="S54" s="317"/>
      <c r="T54" s="16"/>
    </row>
    <row r="55" spans="1:20" ht="23.25">
      <c r="A55" s="317"/>
      <c r="B55" s="8"/>
      <c r="C55" s="317"/>
      <c r="D55" s="317"/>
      <c r="E55" s="317"/>
      <c r="F55" s="315"/>
      <c r="G55" s="315"/>
      <c r="H55" s="317"/>
      <c r="I55" s="27"/>
      <c r="J55" s="27"/>
      <c r="K55" s="40"/>
      <c r="L55" s="27"/>
      <c r="M55" s="851"/>
      <c r="N55" s="851"/>
      <c r="O55" s="941" t="str">
        <f>IF(Surface!N85=0,"",Surface!O85)</f>
        <v/>
      </c>
      <c r="P55" s="941"/>
      <c r="Q55" s="841" t="str">
        <f>IF(Surface!O56="","",IF(Surface!N85=0,"","€/a"))</f>
        <v/>
      </c>
      <c r="R55" s="841"/>
      <c r="S55" s="317"/>
      <c r="T55" s="16"/>
    </row>
    <row r="56" spans="1:20" ht="23.25">
      <c r="A56" s="26"/>
      <c r="B56" s="31"/>
      <c r="C56" s="793" t="s">
        <v>99</v>
      </c>
      <c r="D56" s="793"/>
      <c r="E56" s="793"/>
      <c r="F56" s="850" t="s">
        <v>10</v>
      </c>
      <c r="G56" s="850"/>
      <c r="H56" s="47" t="e">
        <f>IF(F56="","",VLOOKUP(F56,'Default values '!A2:B8,2,FALSE))</f>
        <v>#N/A</v>
      </c>
      <c r="I56" s="27"/>
      <c r="J56" s="27"/>
      <c r="K56" s="46"/>
      <c r="L56" s="27"/>
      <c r="M56" s="851"/>
      <c r="N56" s="851"/>
      <c r="O56" s="941"/>
      <c r="P56" s="941"/>
      <c r="Q56" s="841"/>
      <c r="R56" s="841"/>
      <c r="S56" s="26"/>
      <c r="T56" s="16"/>
    </row>
    <row r="57" spans="1:20">
      <c r="A57" s="317"/>
      <c r="B57" s="8"/>
      <c r="C57" s="793"/>
      <c r="D57" s="793"/>
      <c r="E57" s="793"/>
      <c r="F57" s="850"/>
      <c r="G57" s="850"/>
      <c r="H57" s="15"/>
      <c r="I57" s="317"/>
      <c r="J57" s="317"/>
      <c r="K57" s="9"/>
      <c r="L57" s="317"/>
      <c r="M57" s="842" t="str">
        <f>IF(O53="","","Saving potential")</f>
        <v/>
      </c>
      <c r="N57" s="842"/>
      <c r="O57" s="944" t="e">
        <f>IF(N73=0,"",Surface!#REF!)</f>
        <v>#N/A</v>
      </c>
      <c r="P57" s="944"/>
      <c r="Q57" s="898" t="e">
        <f>IF(O57="","","kWh/a")</f>
        <v>#N/A</v>
      </c>
      <c r="R57" s="898"/>
      <c r="S57" s="317"/>
      <c r="T57" s="22"/>
    </row>
    <row r="58" spans="1:20">
      <c r="A58" s="317"/>
      <c r="B58" s="8"/>
      <c r="C58" s="15"/>
      <c r="D58" s="15"/>
      <c r="E58" s="15"/>
      <c r="F58" s="315"/>
      <c r="G58" s="315"/>
      <c r="H58" s="15"/>
      <c r="I58" s="317"/>
      <c r="J58" s="317"/>
      <c r="K58" s="9"/>
      <c r="L58" s="317"/>
      <c r="M58" s="842"/>
      <c r="N58" s="842"/>
      <c r="O58" s="944"/>
      <c r="P58" s="944"/>
      <c r="Q58" s="898"/>
      <c r="R58" s="898"/>
      <c r="S58" s="317"/>
      <c r="T58" s="16"/>
    </row>
    <row r="59" spans="1:20">
      <c r="A59" s="317"/>
      <c r="B59" s="8"/>
      <c r="C59" s="317"/>
      <c r="D59" s="317"/>
      <c r="E59" s="317"/>
      <c r="F59" s="315"/>
      <c r="G59" s="315"/>
      <c r="H59" s="317"/>
      <c r="I59" s="317"/>
      <c r="J59" s="317"/>
      <c r="K59" s="9"/>
      <c r="L59" s="317"/>
      <c r="M59" s="842"/>
      <c r="N59" s="842"/>
      <c r="O59" s="945" t="e">
        <f>IF(N73=0,"",Surface!#REF!)</f>
        <v>#N/A</v>
      </c>
      <c r="P59" s="945"/>
      <c r="Q59" s="899" t="e">
        <f>IF(O59=0,"",IF(N73=0,"","€/a"))</f>
        <v>#N/A</v>
      </c>
      <c r="R59" s="899"/>
      <c r="S59" s="317"/>
      <c r="T59" s="16"/>
    </row>
    <row r="60" spans="1:20">
      <c r="A60" s="26"/>
      <c r="B60" s="31"/>
      <c r="C60" s="793" t="s">
        <v>36</v>
      </c>
      <c r="D60" s="793"/>
      <c r="E60" s="793"/>
      <c r="F60" s="850">
        <v>20</v>
      </c>
      <c r="G60" s="850"/>
      <c r="H60" s="793" t="s">
        <v>22</v>
      </c>
      <c r="I60" s="26"/>
      <c r="J60" s="26"/>
      <c r="K60" s="46"/>
      <c r="L60" s="26"/>
      <c r="M60" s="842"/>
      <c r="N60" s="842"/>
      <c r="O60" s="945"/>
      <c r="P60" s="945"/>
      <c r="Q60" s="899"/>
      <c r="R60" s="899"/>
      <c r="S60" s="26"/>
      <c r="T60" s="16"/>
    </row>
    <row r="61" spans="1:20">
      <c r="A61" s="317"/>
      <c r="B61" s="8"/>
      <c r="C61" s="793"/>
      <c r="D61" s="793"/>
      <c r="E61" s="793"/>
      <c r="F61" s="850"/>
      <c r="G61" s="850"/>
      <c r="H61" s="793"/>
      <c r="I61" s="317"/>
      <c r="J61" s="317"/>
      <c r="K61" s="9"/>
      <c r="L61" s="317"/>
      <c r="M61" s="41"/>
      <c r="N61" s="41"/>
      <c r="O61" s="41"/>
      <c r="P61" s="41"/>
      <c r="Q61" s="41"/>
      <c r="R61" s="41"/>
      <c r="S61" s="317"/>
      <c r="T61" s="22"/>
    </row>
    <row r="62" spans="1:20" ht="21">
      <c r="A62" s="317"/>
      <c r="B62" s="8"/>
      <c r="C62" s="317"/>
      <c r="D62" s="317"/>
      <c r="E62" s="317"/>
      <c r="F62" s="316"/>
      <c r="G62" s="316"/>
      <c r="H62" s="18"/>
      <c r="I62" s="19"/>
      <c r="J62" s="19"/>
      <c r="K62" s="40"/>
      <c r="L62" s="317"/>
      <c r="M62" s="45"/>
      <c r="N62" s="43"/>
      <c r="O62" s="43"/>
      <c r="P62" s="43"/>
      <c r="Q62" s="43"/>
      <c r="R62" s="43"/>
      <c r="S62" s="317"/>
      <c r="T62" s="16"/>
    </row>
    <row r="63" spans="1:20" ht="21">
      <c r="A63" s="317"/>
      <c r="B63" s="8"/>
      <c r="C63" s="317"/>
      <c r="D63" s="317"/>
      <c r="E63" s="317"/>
      <c r="F63" s="316"/>
      <c r="G63" s="316"/>
      <c r="H63" s="19"/>
      <c r="I63" s="19"/>
      <c r="J63" s="19"/>
      <c r="K63" s="40"/>
      <c r="L63" s="317"/>
      <c r="M63" s="49"/>
      <c r="N63" s="44"/>
      <c r="O63" s="44"/>
      <c r="P63" s="44"/>
      <c r="Q63" s="43"/>
      <c r="R63" s="43"/>
      <c r="S63" s="317"/>
      <c r="T63" s="16"/>
    </row>
    <row r="64" spans="1:20" ht="21">
      <c r="A64" s="26"/>
      <c r="B64" s="8"/>
      <c r="C64" s="793" t="s">
        <v>38</v>
      </c>
      <c r="D64" s="793"/>
      <c r="E64" s="793"/>
      <c r="F64" s="850">
        <v>19</v>
      </c>
      <c r="G64" s="850"/>
      <c r="H64" s="793" t="s">
        <v>22</v>
      </c>
      <c r="I64" s="19"/>
      <c r="J64" s="19"/>
      <c r="K64" s="40"/>
      <c r="L64" s="317"/>
      <c r="M64" s="856">
        <f>IF(F64="","",Surface!R85)</f>
        <v>0</v>
      </c>
      <c r="N64" s="856"/>
      <c r="O64" s="856"/>
      <c r="P64" s="856"/>
      <c r="Q64" s="43"/>
      <c r="R64" s="43"/>
      <c r="S64" s="317"/>
      <c r="T64" s="16"/>
    </row>
    <row r="65" spans="1:25" ht="21">
      <c r="A65" s="317"/>
      <c r="B65" s="8"/>
      <c r="C65" s="793"/>
      <c r="D65" s="793"/>
      <c r="E65" s="793"/>
      <c r="F65" s="850"/>
      <c r="G65" s="850"/>
      <c r="H65" s="793"/>
      <c r="I65" s="19"/>
      <c r="J65" s="19"/>
      <c r="K65" s="40"/>
      <c r="L65" s="317"/>
      <c r="M65" s="856"/>
      <c r="N65" s="856"/>
      <c r="O65" s="856"/>
      <c r="P65" s="856"/>
      <c r="Q65" s="43"/>
      <c r="R65" s="317"/>
      <c r="S65" s="317"/>
      <c r="T65" s="16"/>
    </row>
    <row r="66" spans="1:25" ht="21.75" thickBot="1">
      <c r="A66" s="317"/>
      <c r="B66" s="10"/>
      <c r="C66" s="11"/>
      <c r="D66" s="11"/>
      <c r="E66" s="11"/>
      <c r="F66" s="11"/>
      <c r="G66" s="11"/>
      <c r="H66" s="11"/>
      <c r="I66" s="11"/>
      <c r="J66" s="11"/>
      <c r="K66" s="12"/>
      <c r="L66" s="317"/>
      <c r="M66" s="856"/>
      <c r="N66" s="856"/>
      <c r="O66" s="856"/>
      <c r="P66" s="856"/>
      <c r="Q66" s="43"/>
      <c r="R66" s="317"/>
      <c r="S66" s="317"/>
      <c r="T66" s="16"/>
    </row>
    <row r="67" spans="1:25" ht="16.5" thickTop="1" thickBot="1">
      <c r="A67" s="317"/>
      <c r="B67" s="317"/>
      <c r="C67" s="317"/>
      <c r="D67" s="317"/>
      <c r="E67" s="317"/>
      <c r="F67" s="317"/>
      <c r="G67" s="317"/>
      <c r="H67" s="317"/>
      <c r="I67" s="317"/>
      <c r="J67" s="317"/>
      <c r="K67" s="317"/>
      <c r="L67" s="317"/>
      <c r="M67" s="317"/>
      <c r="N67" s="317"/>
      <c r="O67" s="317"/>
      <c r="P67" s="317"/>
      <c r="Q67" s="317"/>
      <c r="R67" s="317"/>
      <c r="S67" s="317"/>
      <c r="T67" s="16"/>
    </row>
    <row r="68" spans="1:25" ht="15.75" thickTop="1">
      <c r="A68" s="31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317"/>
      <c r="T68" s="16"/>
    </row>
    <row r="69" spans="1:25" s="2" customFormat="1" ht="19.899999999999999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</row>
    <row r="70" spans="1:25" s="2" customForma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</row>
    <row r="71" spans="1:25" ht="54.75">
      <c r="A71" s="65"/>
      <c r="B71" s="65"/>
      <c r="C71" s="73"/>
      <c r="D71" s="72"/>
      <c r="E71" s="72"/>
      <c r="F71" s="35"/>
      <c r="G71" s="16"/>
      <c r="H71" s="16"/>
      <c r="I71" s="16"/>
      <c r="J71" s="74"/>
      <c r="K71" s="74"/>
      <c r="L71" s="74"/>
      <c r="M71" s="75"/>
      <c r="N71" s="76" t="s">
        <v>31</v>
      </c>
      <c r="O71" s="76" t="s">
        <v>83</v>
      </c>
      <c r="P71" s="849"/>
      <c r="Q71" s="849"/>
      <c r="R71" s="77"/>
      <c r="S71" s="16"/>
      <c r="T71" s="16"/>
    </row>
    <row r="72" spans="1:25" ht="60">
      <c r="A72" s="802" t="s">
        <v>5</v>
      </c>
      <c r="B72" s="803"/>
      <c r="C72" s="322" t="s">
        <v>35</v>
      </c>
      <c r="D72" s="82" t="s">
        <v>40</v>
      </c>
      <c r="E72" s="82" t="s">
        <v>29</v>
      </c>
      <c r="F72" s="82" t="s">
        <v>30</v>
      </c>
      <c r="G72" s="84" t="s">
        <v>78</v>
      </c>
      <c r="H72" s="82" t="s">
        <v>59</v>
      </c>
      <c r="I72" s="82" t="s">
        <v>58</v>
      </c>
      <c r="J72" s="83" t="s">
        <v>13</v>
      </c>
      <c r="K72" s="83" t="s">
        <v>28</v>
      </c>
      <c r="L72" s="83" t="s">
        <v>26</v>
      </c>
      <c r="M72" s="78" t="s">
        <v>27</v>
      </c>
      <c r="N72" s="80" t="s">
        <v>84</v>
      </c>
      <c r="O72" s="80" t="s">
        <v>85</v>
      </c>
      <c r="P72" s="325" t="s">
        <v>60</v>
      </c>
      <c r="Q72" s="325"/>
      <c r="R72" s="857"/>
      <c r="S72" s="857"/>
      <c r="T72" s="857"/>
      <c r="V72" s="2" t="s">
        <v>13</v>
      </c>
      <c r="W72" s="2" t="s">
        <v>28</v>
      </c>
      <c r="X72" s="2" t="s">
        <v>26</v>
      </c>
      <c r="Y72" s="2" t="s">
        <v>27</v>
      </c>
    </row>
    <row r="73" spans="1:25" ht="18.75">
      <c r="A73" s="804" t="str">
        <f>G44</f>
        <v>hikhjkl</v>
      </c>
      <c r="B73" s="804"/>
      <c r="C73" s="255">
        <f>F52</f>
        <v>100</v>
      </c>
      <c r="D73" s="255">
        <f>N47</f>
        <v>19</v>
      </c>
      <c r="E73" s="256">
        <f>F64</f>
        <v>19</v>
      </c>
      <c r="F73" s="256">
        <f>F60</f>
        <v>20</v>
      </c>
      <c r="G73" s="257" t="e">
        <f>H56</f>
        <v>#N/A</v>
      </c>
      <c r="H73" s="256">
        <f>P44</f>
        <v>5000</v>
      </c>
      <c r="I73" s="257">
        <f>TBi!$L$27</f>
        <v>3.5999999999999997E-2</v>
      </c>
      <c r="J73" s="192" t="e">
        <f>IF(E73=0,"",D86*G73*(((E73+273)^4-(F73+273)^4)/(E73-F73)))</f>
        <v>#N/A</v>
      </c>
      <c r="K73" s="193">
        <f>IF(E73=0,"",1.74*ABS(E73-F73)^0.3333333)</f>
        <v>1.74</v>
      </c>
      <c r="L73" s="192" t="e">
        <f>IF(E73=0,"",J73+K73)</f>
        <v>#N/A</v>
      </c>
      <c r="M73" s="194" t="e">
        <f>IF(E73=0,"",L73*ABS(E73-F73))</f>
        <v>#N/A</v>
      </c>
      <c r="N73" s="79" t="e">
        <f>IF(E73=0,"",M73*H73*C73/1000)</f>
        <v>#N/A</v>
      </c>
      <c r="O73" s="79" t="e">
        <f>IF(E73=0,"",N73*I73)</f>
        <v>#N/A</v>
      </c>
      <c r="P73" s="121" t="s">
        <v>61</v>
      </c>
      <c r="Q73" s="121" t="s">
        <v>23</v>
      </c>
      <c r="R73" s="858"/>
      <c r="S73" s="858"/>
      <c r="T73" s="858"/>
      <c r="V73" s="192">
        <v>4.5876124626821202</v>
      </c>
      <c r="W73" s="193">
        <v>1.74</v>
      </c>
      <c r="X73" s="192">
        <v>6.3276124626821204</v>
      </c>
      <c r="Y73" s="194">
        <v>6.3276124626821204</v>
      </c>
    </row>
    <row r="74" spans="1:25">
      <c r="A74" s="804" t="s">
        <v>100</v>
      </c>
      <c r="B74" s="804"/>
      <c r="C74" s="255">
        <f t="shared" ref="C74:I74" si="0">C73</f>
        <v>100</v>
      </c>
      <c r="D74" s="255">
        <f t="shared" si="0"/>
        <v>19</v>
      </c>
      <c r="E74" s="258">
        <f t="shared" si="0"/>
        <v>19</v>
      </c>
      <c r="F74" s="256">
        <f t="shared" si="0"/>
        <v>20</v>
      </c>
      <c r="G74" s="257" t="e">
        <f t="shared" si="0"/>
        <v>#N/A</v>
      </c>
      <c r="H74" s="256">
        <f t="shared" si="0"/>
        <v>5000</v>
      </c>
      <c r="I74" s="257">
        <f t="shared" si="0"/>
        <v>3.5999999999999997E-2</v>
      </c>
      <c r="J74" s="192" t="e">
        <f>IF(E74=0,"",D86*G74*(((E74+273)^4-(F74+273)^4)/(E74-F74)))</f>
        <v>#N/A</v>
      </c>
      <c r="K74" s="193">
        <f>IF(E74=0,"",1.74*ABS(E74-F74)^0.3333333)</f>
        <v>1.74</v>
      </c>
      <c r="L74" s="192" t="e">
        <f>IF(E74=0,"",J74+K74)</f>
        <v>#N/A</v>
      </c>
      <c r="M74" s="194" t="e">
        <f>ABS(D74-F74)/((E80+E81))</f>
        <v>#N/A</v>
      </c>
      <c r="N74" s="259" t="e">
        <f>IF(E74=0,"",M74*H74*C74/1000)</f>
        <v>#N/A</v>
      </c>
      <c r="O74" s="259" t="e">
        <f>IF(E74=0,"",N74*I74)</f>
        <v>#N/A</v>
      </c>
      <c r="P74" s="79" t="e">
        <f>N73-N74</f>
        <v>#N/A</v>
      </c>
      <c r="Q74" s="79" t="e">
        <f>O73-O74</f>
        <v>#N/A</v>
      </c>
      <c r="R74" s="36"/>
      <c r="S74" s="36"/>
      <c r="T74" s="36"/>
      <c r="V74" s="192">
        <v>4.5876124626821202</v>
      </c>
      <c r="W74" s="193">
        <v>1.74</v>
      </c>
      <c r="X74" s="192">
        <v>6.3276124626821204</v>
      </c>
      <c r="Y74" s="194">
        <v>1.7166535972148909</v>
      </c>
    </row>
    <row r="75" spans="1:25" ht="31.5">
      <c r="A75" s="56"/>
      <c r="B75" s="56"/>
      <c r="C75" s="238"/>
      <c r="D75" s="239"/>
      <c r="E75" s="240"/>
      <c r="F75" s="241"/>
      <c r="G75" s="242"/>
      <c r="H75" s="243"/>
      <c r="I75" s="242"/>
      <c r="J75" s="58"/>
      <c r="K75" s="59"/>
      <c r="L75" s="58"/>
      <c r="M75" s="78" t="s">
        <v>166</v>
      </c>
      <c r="N75" s="321"/>
      <c r="O75" s="321"/>
      <c r="P75" s="123"/>
      <c r="Q75" s="123"/>
      <c r="R75" s="36"/>
      <c r="S75" s="36"/>
      <c r="T75" s="36"/>
    </row>
    <row r="76" spans="1:25" ht="18.75">
      <c r="A76" s="62"/>
      <c r="B76" s="56"/>
      <c r="C76" s="936" t="s">
        <v>51</v>
      </c>
      <c r="D76" s="937"/>
      <c r="E76" s="323">
        <f>(D73+F73)/2</f>
        <v>19.5</v>
      </c>
      <c r="F76" s="261"/>
      <c r="G76" s="57"/>
      <c r="H76" s="57"/>
      <c r="I76" s="57"/>
      <c r="J76" s="58"/>
      <c r="K76" s="59"/>
      <c r="L76" s="58"/>
      <c r="M76" s="75"/>
      <c r="N76" s="75"/>
      <c r="O76" s="75"/>
      <c r="P76" s="324"/>
      <c r="Q76" s="324"/>
      <c r="R76" s="36"/>
      <c r="S76" s="36"/>
      <c r="T76" s="36"/>
    </row>
    <row r="77" spans="1:25">
      <c r="A77" s="56"/>
      <c r="B77" s="56"/>
      <c r="C77" s="818" t="s">
        <v>52</v>
      </c>
      <c r="D77" s="819"/>
      <c r="E77" s="260">
        <f>C90+C91*E76+C92*E76^2+C93*E76^3</f>
        <v>3.6121311097137496E-2</v>
      </c>
      <c r="F77" s="182"/>
      <c r="G77" s="57"/>
      <c r="H77" s="57"/>
      <c r="I77" s="57"/>
      <c r="J77" s="58"/>
      <c r="K77" s="59"/>
      <c r="L77" s="58"/>
      <c r="M77" s="60"/>
      <c r="N77" s="129"/>
      <c r="O77" s="129"/>
      <c r="P77" s="123"/>
      <c r="Q77" s="123"/>
      <c r="R77" s="36"/>
      <c r="S77" s="36"/>
      <c r="T77" s="36"/>
    </row>
    <row r="78" spans="1:25" ht="15.75" thickBot="1">
      <c r="A78" s="56"/>
      <c r="B78" s="56"/>
      <c r="C78" s="820" t="s">
        <v>56</v>
      </c>
      <c r="D78" s="821"/>
      <c r="E78" s="172">
        <f>E77*C89</f>
        <v>4.6957704426278744E-2</v>
      </c>
      <c r="F78" s="182"/>
      <c r="G78" s="57"/>
      <c r="H78" s="57"/>
      <c r="I78" s="57"/>
      <c r="J78" s="58"/>
      <c r="K78" s="59"/>
      <c r="L78" s="58"/>
      <c r="M78" s="60"/>
      <c r="N78" s="129"/>
      <c r="O78" s="129"/>
      <c r="P78" s="123"/>
      <c r="Q78" s="123"/>
      <c r="R78" s="36"/>
      <c r="S78" s="36"/>
      <c r="T78" s="36"/>
    </row>
    <row r="79" spans="1:25" ht="15.75" thickBot="1">
      <c r="A79" s="56"/>
      <c r="B79" s="56"/>
      <c r="C79" s="822" t="s">
        <v>54</v>
      </c>
      <c r="D79" s="823"/>
      <c r="E79" s="262">
        <f>IF((D73-F73)&lt;F90,G90/1000,IF((D73-F73)&lt;F91,G91/1000,IF((D73-F73)&lt;F92,(G92/1000),G93/1000)))</f>
        <v>0.02</v>
      </c>
      <c r="F79" s="59" t="s">
        <v>46</v>
      </c>
      <c r="G79" s="57"/>
      <c r="H79" s="57"/>
      <c r="I79" s="57"/>
      <c r="J79" s="58"/>
      <c r="K79" s="59"/>
      <c r="L79" s="58"/>
      <c r="M79" s="60"/>
      <c r="N79" s="123"/>
      <c r="O79" s="123"/>
      <c r="P79" s="129"/>
      <c r="Q79" s="129"/>
      <c r="R79" s="36"/>
      <c r="S79" s="36"/>
      <c r="T79" s="36"/>
    </row>
    <row r="80" spans="1:25">
      <c r="A80" s="56"/>
      <c r="B80" s="56"/>
      <c r="C80" s="827" t="s">
        <v>159</v>
      </c>
      <c r="D80" s="828"/>
      <c r="E80" s="263" t="e">
        <f>1/L73</f>
        <v>#N/A</v>
      </c>
      <c r="F80" s="58" t="s">
        <v>57</v>
      </c>
      <c r="G80" s="57"/>
      <c r="H80" s="57"/>
      <c r="I80" s="57"/>
      <c r="J80" s="58"/>
      <c r="K80" s="59"/>
      <c r="L80" s="58"/>
      <c r="M80" s="877" t="e">
        <f>IF(E82&gt;M74,"insulation recommended","insulation_ok")</f>
        <v>#N/A</v>
      </c>
      <c r="N80" s="878"/>
      <c r="O80" s="878"/>
      <c r="P80" s="878"/>
      <c r="Q80" s="878"/>
      <c r="R80" s="879"/>
      <c r="S80" s="36"/>
      <c r="T80" s="36"/>
    </row>
    <row r="81" spans="1:20">
      <c r="A81" s="56"/>
      <c r="B81" s="56"/>
      <c r="C81" s="827" t="s">
        <v>165</v>
      </c>
      <c r="D81" s="828"/>
      <c r="E81" s="264">
        <f>E79/E78</f>
        <v>0.42591519846118125</v>
      </c>
      <c r="F81" s="59"/>
      <c r="G81" s="57"/>
      <c r="H81" s="57"/>
      <c r="I81" s="57"/>
      <c r="J81" s="58"/>
      <c r="K81" s="59"/>
      <c r="L81" s="58"/>
      <c r="M81" s="880"/>
      <c r="N81" s="881"/>
      <c r="O81" s="881"/>
      <c r="P81" s="881"/>
      <c r="Q81" s="881"/>
      <c r="R81" s="882"/>
      <c r="S81" s="36"/>
      <c r="T81" s="36"/>
    </row>
    <row r="82" spans="1:20" ht="15.75" thickBot="1">
      <c r="A82" s="56"/>
      <c r="B82" s="56"/>
      <c r="C82" s="829" t="s">
        <v>113</v>
      </c>
      <c r="D82" s="830"/>
      <c r="E82" s="265" t="e">
        <f>M73-(10000*D96/I73/H73)</f>
        <v>#N/A</v>
      </c>
      <c r="F82" s="16" t="s">
        <v>108</v>
      </c>
      <c r="G82" s="57"/>
      <c r="H82" s="57"/>
      <c r="I82" s="57"/>
      <c r="J82" s="58"/>
      <c r="K82" s="59"/>
      <c r="L82" s="58"/>
      <c r="M82" s="883"/>
      <c r="N82" s="884"/>
      <c r="O82" s="884"/>
      <c r="P82" s="884"/>
      <c r="Q82" s="884"/>
      <c r="R82" s="885"/>
      <c r="S82" s="36"/>
      <c r="T82" s="36"/>
    </row>
    <row r="83" spans="1:20">
      <c r="A83" s="56"/>
      <c r="B83" s="56"/>
      <c r="C83" s="56"/>
      <c r="D83" s="57"/>
      <c r="E83" s="58"/>
      <c r="F83" s="57"/>
      <c r="G83" s="57"/>
      <c r="H83" s="57"/>
      <c r="I83" s="57"/>
      <c r="J83" s="58"/>
      <c r="K83" s="59"/>
      <c r="L83" s="58"/>
      <c r="M83" s="60"/>
      <c r="N83" s="123"/>
      <c r="O83" s="123"/>
      <c r="P83" s="129"/>
      <c r="Q83" s="129"/>
      <c r="R83" s="36"/>
      <c r="S83" s="36"/>
      <c r="T83" s="36"/>
    </row>
    <row r="84" spans="1:20" ht="15.75" thickBot="1">
      <c r="A84" s="832" t="s">
        <v>109</v>
      </c>
      <c r="B84" s="832"/>
      <c r="C84" s="832"/>
      <c r="D84" s="832"/>
      <c r="E84" s="832"/>
      <c r="F84" s="832"/>
      <c r="G84" s="832"/>
      <c r="H84" s="832"/>
      <c r="I84" s="832"/>
      <c r="J84" s="832"/>
      <c r="K84" s="832"/>
      <c r="L84" s="832"/>
      <c r="M84" s="832"/>
      <c r="N84" s="832"/>
      <c r="O84" s="832"/>
      <c r="P84" s="832"/>
      <c r="Q84" s="832"/>
      <c r="R84" s="832"/>
      <c r="S84" s="832"/>
      <c r="T84" s="832"/>
    </row>
    <row r="85" spans="1:20" ht="15.75" thickBot="1">
      <c r="A85" s="805" t="s">
        <v>162</v>
      </c>
      <c r="B85" s="806"/>
      <c r="C85" s="806"/>
      <c r="D85" s="254">
        <v>3.1415999999999999</v>
      </c>
      <c r="E85" s="132"/>
      <c r="F85" s="132"/>
      <c r="G85" s="132"/>
      <c r="H85" s="132"/>
      <c r="I85" s="132"/>
      <c r="J85" s="133"/>
      <c r="K85" s="134"/>
      <c r="L85" s="133"/>
      <c r="M85" s="135"/>
      <c r="N85" s="150"/>
      <c r="O85" s="150"/>
      <c r="P85" s="137"/>
      <c r="Q85" s="137"/>
      <c r="R85" s="138"/>
      <c r="S85" s="138"/>
      <c r="T85" s="138"/>
    </row>
    <row r="86" spans="1:20" ht="15.75" thickBot="1">
      <c r="A86" s="831" t="s">
        <v>80</v>
      </c>
      <c r="B86" s="806"/>
      <c r="C86" s="806"/>
      <c r="D86" s="271">
        <v>5.6703669999999997E-8</v>
      </c>
      <c r="E86" s="132"/>
      <c r="F86" s="132"/>
      <c r="G86" s="132"/>
      <c r="H86" s="132"/>
      <c r="I86" s="132"/>
      <c r="J86" s="133"/>
      <c r="K86" s="134"/>
      <c r="L86" s="133"/>
      <c r="M86" s="135"/>
      <c r="N86" s="150"/>
      <c r="O86" s="150"/>
      <c r="P86" s="137"/>
      <c r="Q86" s="137"/>
      <c r="R86" s="138"/>
      <c r="S86" s="138"/>
      <c r="T86" s="138"/>
    </row>
    <row r="87" spans="1:20" ht="15.75" thickBot="1">
      <c r="A87" s="120"/>
      <c r="B87" s="272"/>
      <c r="C87" s="272"/>
      <c r="D87" s="149"/>
      <c r="E87" s="132"/>
      <c r="F87" s="132"/>
      <c r="G87" s="132"/>
      <c r="H87" s="132"/>
      <c r="I87" s="132"/>
      <c r="J87" s="133"/>
      <c r="K87" s="134"/>
      <c r="L87" s="133"/>
      <c r="M87" s="135"/>
      <c r="N87" s="150"/>
      <c r="O87" s="150"/>
      <c r="P87" s="137"/>
      <c r="Q87" s="137"/>
      <c r="R87" s="138"/>
      <c r="S87" s="138"/>
      <c r="T87" s="138"/>
    </row>
    <row r="88" spans="1:20" ht="15.75" thickBot="1">
      <c r="A88" s="131"/>
      <c r="B88" s="833" t="s">
        <v>110</v>
      </c>
      <c r="C88" s="834"/>
      <c r="D88" s="131"/>
      <c r="E88" s="835" t="s">
        <v>112</v>
      </c>
      <c r="F88" s="836"/>
      <c r="G88" s="837"/>
      <c r="H88" s="132"/>
      <c r="I88" s="132"/>
      <c r="J88" s="133"/>
      <c r="K88" s="134"/>
      <c r="L88" s="133"/>
      <c r="M88" s="135"/>
      <c r="N88" s="150"/>
      <c r="O88" s="150"/>
      <c r="P88" s="137"/>
      <c r="Q88" s="137"/>
      <c r="R88" s="138"/>
      <c r="S88" s="138"/>
      <c r="T88" s="138"/>
    </row>
    <row r="89" spans="1:20" ht="15.75" thickBot="1">
      <c r="A89" s="120"/>
      <c r="B89" s="92" t="s">
        <v>53</v>
      </c>
      <c r="C89" s="250">
        <v>1.3</v>
      </c>
      <c r="D89" s="132"/>
      <c r="E89" s="69"/>
      <c r="F89" s="70" t="s">
        <v>65</v>
      </c>
      <c r="G89" s="99" t="s">
        <v>44</v>
      </c>
      <c r="H89" s="132"/>
      <c r="I89" s="133"/>
      <c r="J89" s="134"/>
      <c r="K89" s="133"/>
      <c r="L89" s="135"/>
      <c r="M89" s="150"/>
      <c r="N89" s="150"/>
      <c r="O89" s="137"/>
      <c r="P89" s="137"/>
      <c r="Q89" s="138"/>
      <c r="R89" s="138"/>
      <c r="S89" s="138"/>
      <c r="T89" s="139"/>
    </row>
    <row r="90" spans="1:20">
      <c r="A90" s="120"/>
      <c r="B90" s="67" t="s">
        <v>47</v>
      </c>
      <c r="C90" s="90">
        <f>0.0338</f>
        <v>3.3799999999999997E-2</v>
      </c>
      <c r="D90" s="132"/>
      <c r="E90" s="71" t="s">
        <v>81</v>
      </c>
      <c r="F90" s="237">
        <v>80</v>
      </c>
      <c r="G90" s="98">
        <v>20</v>
      </c>
      <c r="H90" s="132"/>
      <c r="I90" s="133"/>
      <c r="J90" s="134"/>
      <c r="K90" s="133"/>
      <c r="L90" s="135"/>
      <c r="M90" s="150"/>
      <c r="N90" s="150"/>
      <c r="O90" s="137"/>
      <c r="P90" s="137"/>
      <c r="Q90" s="138"/>
      <c r="R90" s="138"/>
      <c r="S90" s="138"/>
      <c r="T90" s="139"/>
    </row>
    <row r="91" spans="1:20">
      <c r="A91" s="120"/>
      <c r="B91" s="67" t="s">
        <v>48</v>
      </c>
      <c r="C91" s="90">
        <v>1.1730000000000001E-4</v>
      </c>
      <c r="D91" s="132"/>
      <c r="E91" s="71" t="s">
        <v>81</v>
      </c>
      <c r="F91" s="237">
        <v>150</v>
      </c>
      <c r="G91" s="98">
        <v>50</v>
      </c>
      <c r="H91" s="132"/>
      <c r="I91" s="133"/>
      <c r="J91" s="134"/>
      <c r="K91" s="133"/>
      <c r="L91" s="135"/>
      <c r="M91" s="150"/>
      <c r="N91" s="150"/>
      <c r="O91" s="137"/>
      <c r="P91" s="137"/>
      <c r="Q91" s="138"/>
      <c r="R91" s="138"/>
      <c r="S91" s="138"/>
      <c r="T91" s="139"/>
    </row>
    <row r="92" spans="1:20">
      <c r="A92" s="120"/>
      <c r="B92" s="67" t="s">
        <v>49</v>
      </c>
      <c r="C92" s="90">
        <v>7.5450000000000004E-8</v>
      </c>
      <c r="D92" s="132"/>
      <c r="E92" s="71" t="s">
        <v>81</v>
      </c>
      <c r="F92" s="237">
        <v>250</v>
      </c>
      <c r="G92" s="98">
        <v>80</v>
      </c>
      <c r="H92" s="132"/>
      <c r="I92" s="133"/>
      <c r="J92" s="134"/>
      <c r="K92" s="133"/>
      <c r="L92" s="135"/>
      <c r="M92" s="150"/>
      <c r="N92" s="150"/>
      <c r="O92" s="137"/>
      <c r="P92" s="137"/>
      <c r="Q92" s="138"/>
      <c r="R92" s="138"/>
      <c r="S92" s="138"/>
      <c r="T92" s="139"/>
    </row>
    <row r="93" spans="1:20" ht="15.75" thickBot="1">
      <c r="A93" s="66"/>
      <c r="B93" s="68" t="s">
        <v>50</v>
      </c>
      <c r="C93" s="91">
        <v>7.109E-10</v>
      </c>
      <c r="D93" s="132"/>
      <c r="E93" s="71" t="s">
        <v>81</v>
      </c>
      <c r="F93" s="237"/>
      <c r="G93" s="98">
        <v>100</v>
      </c>
      <c r="H93" s="133"/>
      <c r="I93" s="135"/>
      <c r="J93" s="139"/>
      <c r="K93" s="139"/>
      <c r="L93" s="137"/>
      <c r="M93" s="137"/>
      <c r="N93" s="139"/>
      <c r="O93" s="137"/>
      <c r="P93" s="140"/>
      <c r="Q93" s="138"/>
      <c r="R93" s="138"/>
      <c r="S93" s="138"/>
      <c r="T93" s="139"/>
    </row>
    <row r="94" spans="1:20">
      <c r="A94" s="66"/>
      <c r="B94" s="148"/>
      <c r="C94" s="149"/>
      <c r="D94" s="132"/>
      <c r="E94" s="132"/>
      <c r="F94" s="133"/>
      <c r="G94" s="134"/>
      <c r="H94" s="133"/>
      <c r="I94" s="135"/>
      <c r="J94" s="139"/>
      <c r="K94" s="139"/>
      <c r="L94" s="137"/>
      <c r="M94" s="137"/>
      <c r="N94" s="139"/>
      <c r="O94" s="826" t="s">
        <v>142</v>
      </c>
      <c r="P94" s="826"/>
      <c r="Q94" s="826"/>
      <c r="R94" s="826"/>
      <c r="S94" s="826"/>
      <c r="T94" s="826"/>
    </row>
    <row r="95" spans="1:20">
      <c r="A95" s="66"/>
      <c r="B95" s="152"/>
      <c r="C95" s="153"/>
      <c r="D95" s="154"/>
      <c r="E95" s="152"/>
      <c r="F95" s="152"/>
      <c r="G95" s="152"/>
      <c r="H95" s="133"/>
      <c r="I95" s="135"/>
      <c r="J95" s="139"/>
      <c r="K95" s="139"/>
      <c r="L95" s="137"/>
      <c r="M95" s="137"/>
      <c r="N95" s="139"/>
      <c r="O95" s="847" t="s">
        <v>143</v>
      </c>
      <c r="P95" s="847"/>
      <c r="Q95" s="847"/>
      <c r="R95" s="234">
        <v>80</v>
      </c>
      <c r="S95" s="196" t="s">
        <v>62</v>
      </c>
      <c r="T95" s="197"/>
    </row>
    <row r="96" spans="1:20">
      <c r="A96" s="266"/>
      <c r="B96" s="267" t="s">
        <v>136</v>
      </c>
      <c r="C96" s="268"/>
      <c r="D96" s="269">
        <v>1.6</v>
      </c>
      <c r="E96" s="152"/>
      <c r="F96" s="152"/>
      <c r="G96" s="152"/>
      <c r="H96" s="133"/>
      <c r="I96" s="135"/>
      <c r="J96" s="139"/>
      <c r="K96" s="90"/>
      <c r="L96" s="137"/>
      <c r="M96" s="137"/>
      <c r="N96" s="139"/>
      <c r="O96" s="847" t="s">
        <v>144</v>
      </c>
      <c r="P96" s="847"/>
      <c r="Q96" s="847"/>
      <c r="R96" s="234">
        <v>150</v>
      </c>
      <c r="S96" s="196" t="s">
        <v>145</v>
      </c>
      <c r="T96" s="197"/>
    </row>
    <row r="97" spans="1:20">
      <c r="A97" s="266"/>
      <c r="B97" s="267" t="s">
        <v>137</v>
      </c>
      <c r="C97" s="268"/>
      <c r="D97" s="269">
        <v>3</v>
      </c>
      <c r="E97" s="152"/>
      <c r="F97" s="152"/>
      <c r="G97" s="152"/>
      <c r="H97" s="133"/>
      <c r="I97" s="135"/>
      <c r="J97" s="139"/>
      <c r="K97" s="139"/>
      <c r="L97" s="137"/>
      <c r="M97" s="137"/>
      <c r="N97" s="139"/>
      <c r="O97" s="847" t="s">
        <v>64</v>
      </c>
      <c r="P97" s="847"/>
      <c r="Q97" s="847"/>
      <c r="R97" s="234">
        <v>5</v>
      </c>
      <c r="S97" s="196" t="s">
        <v>63</v>
      </c>
      <c r="T97" s="197"/>
    </row>
    <row r="98" spans="1:20">
      <c r="A98" s="848" t="s">
        <v>86</v>
      </c>
      <c r="B98" s="848"/>
      <c r="C98" s="848"/>
      <c r="D98" s="270">
        <v>55</v>
      </c>
      <c r="E98" s="156" t="s">
        <v>22</v>
      </c>
      <c r="F98" s="133"/>
      <c r="G98" s="134"/>
      <c r="H98" s="133"/>
      <c r="I98" s="135"/>
      <c r="J98" s="139"/>
      <c r="K98" s="139"/>
      <c r="L98" s="137"/>
      <c r="M98" s="137"/>
      <c r="N98" s="139"/>
      <c r="O98" s="847" t="s">
        <v>146</v>
      </c>
      <c r="P98" s="847"/>
      <c r="Q98" s="847"/>
      <c r="R98" s="235">
        <f>0.1*R95/R97</f>
        <v>1.6</v>
      </c>
      <c r="S98" s="196"/>
      <c r="T98" s="197"/>
    </row>
    <row r="99" spans="1:20">
      <c r="A99" s="66"/>
      <c r="B99" s="148"/>
      <c r="C99" s="149"/>
      <c r="D99" s="132"/>
      <c r="E99" s="132"/>
      <c r="F99" s="133"/>
      <c r="G99" s="134"/>
      <c r="H99" s="133"/>
      <c r="I99" s="135"/>
      <c r="J99" s="139"/>
      <c r="K99" s="139"/>
      <c r="L99" s="137"/>
      <c r="M99" s="137"/>
      <c r="N99" s="139"/>
      <c r="O99" s="847" t="s">
        <v>147</v>
      </c>
      <c r="P99" s="847"/>
      <c r="Q99" s="847"/>
      <c r="R99" s="236">
        <f>0.1*R96/R97</f>
        <v>3</v>
      </c>
      <c r="S99" s="198"/>
      <c r="T99" s="197"/>
    </row>
    <row r="100" spans="1:20">
      <c r="A100" s="66"/>
      <c r="B100" s="148"/>
      <c r="C100" s="149"/>
      <c r="D100" s="132"/>
      <c r="E100" s="132"/>
      <c r="F100" s="133"/>
      <c r="G100" s="134"/>
      <c r="H100" s="133"/>
      <c r="I100" s="135"/>
      <c r="J100" s="139"/>
      <c r="K100" s="139"/>
      <c r="L100" s="137"/>
      <c r="M100" s="137"/>
      <c r="N100" s="139"/>
      <c r="O100" s="251"/>
      <c r="P100" s="252"/>
      <c r="Q100" s="253"/>
      <c r="R100" s="253"/>
      <c r="S100" s="253"/>
      <c r="T100" s="197"/>
    </row>
  </sheetData>
  <mergeCells count="80">
    <mergeCell ref="A98:C98"/>
    <mergeCell ref="O98:Q98"/>
    <mergeCell ref="O99:Q99"/>
    <mergeCell ref="B88:C88"/>
    <mergeCell ref="E88:G88"/>
    <mergeCell ref="O94:T94"/>
    <mergeCell ref="O95:Q95"/>
    <mergeCell ref="O96:Q96"/>
    <mergeCell ref="O97:Q97"/>
    <mergeCell ref="A72:B72"/>
    <mergeCell ref="R72:T72"/>
    <mergeCell ref="A73:B73"/>
    <mergeCell ref="R73:T73"/>
    <mergeCell ref="A86:C86"/>
    <mergeCell ref="A74:B74"/>
    <mergeCell ref="C76:D76"/>
    <mergeCell ref="C77:D77"/>
    <mergeCell ref="C78:D78"/>
    <mergeCell ref="C79:D79"/>
    <mergeCell ref="C80:D80"/>
    <mergeCell ref="M80:R82"/>
    <mergeCell ref="C81:D81"/>
    <mergeCell ref="C82:D82"/>
    <mergeCell ref="A84:T84"/>
    <mergeCell ref="A85:C85"/>
    <mergeCell ref="C64:E65"/>
    <mergeCell ref="F64:G65"/>
    <mergeCell ref="H64:H65"/>
    <mergeCell ref="M64:P66"/>
    <mergeCell ref="P71:Q71"/>
    <mergeCell ref="Q53:R54"/>
    <mergeCell ref="O55:P56"/>
    <mergeCell ref="Q55:R56"/>
    <mergeCell ref="C56:E57"/>
    <mergeCell ref="F56:G57"/>
    <mergeCell ref="M57:N60"/>
    <mergeCell ref="O57:P58"/>
    <mergeCell ref="Q57:R58"/>
    <mergeCell ref="O59:P60"/>
    <mergeCell ref="Q59:R60"/>
    <mergeCell ref="C60:E61"/>
    <mergeCell ref="F60:G61"/>
    <mergeCell ref="H60:H61"/>
    <mergeCell ref="N44:O45"/>
    <mergeCell ref="K47:M48"/>
    <mergeCell ref="N47:O48"/>
    <mergeCell ref="P47:P48"/>
    <mergeCell ref="C52:E53"/>
    <mergeCell ref="F52:G53"/>
    <mergeCell ref="H52:H53"/>
    <mergeCell ref="M53:N56"/>
    <mergeCell ref="O53:P54"/>
    <mergeCell ref="K44:M45"/>
    <mergeCell ref="C24:D25"/>
    <mergeCell ref="F24:G25"/>
    <mergeCell ref="I24:J25"/>
    <mergeCell ref="C44:E45"/>
    <mergeCell ref="G44:J48"/>
    <mergeCell ref="V10:W11"/>
    <mergeCell ref="C12:D15"/>
    <mergeCell ref="F12:G15"/>
    <mergeCell ref="O12:P15"/>
    <mergeCell ref="C16:D16"/>
    <mergeCell ref="F16:G16"/>
    <mergeCell ref="I16:J17"/>
    <mergeCell ref="L16:M17"/>
    <mergeCell ref="O16:P17"/>
    <mergeCell ref="V6:W9"/>
    <mergeCell ref="C8:D8"/>
    <mergeCell ref="F8:G8"/>
    <mergeCell ref="I8:J8"/>
    <mergeCell ref="L8:M8"/>
    <mergeCell ref="O8:P8"/>
    <mergeCell ref="B2:D2"/>
    <mergeCell ref="O2:P2"/>
    <mergeCell ref="C4:D7"/>
    <mergeCell ref="F4:G7"/>
    <mergeCell ref="I4:J7"/>
    <mergeCell ref="L4:M7"/>
    <mergeCell ref="O4:P7"/>
  </mergeCells>
  <conditionalFormatting sqref="F64:G65">
    <cfRule type="cellIs" dxfId="1" priority="1" operator="greaterThan">
      <formula>55</formula>
    </cfRule>
  </conditionalFormatting>
  <dataValidations count="1">
    <dataValidation type="list" allowBlank="1" showInputMessage="1" showErrorMessage="1" promptTitle="Select a value " sqref="F56">
      <formula1>emissivity</formula1>
    </dataValidation>
  </dataValidations>
  <pageMargins left="0.7" right="0.7" top="0.75" bottom="0.75" header="0.3" footer="0.3"/>
  <drawing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0AE768A-B93C-4E9C-B171-951E903ABF23}">
          <x14:formula1>
            <xm:f>'Default values '!$C$2:$C$10</xm:f>
          </x14:formula1>
          <xm:sqref>N44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>
  <dimension ref="A1:Z5"/>
  <sheetViews>
    <sheetView workbookViewId="0">
      <selection activeCell="O9" sqref="O9"/>
    </sheetView>
  </sheetViews>
  <sheetFormatPr baseColWidth="10" defaultColWidth="8.85546875" defaultRowHeight="15"/>
  <cols>
    <col min="1" max="2" width="5.28515625" style="17" customWidth="1"/>
    <col min="3" max="3" width="13" style="17" customWidth="1"/>
    <col min="4" max="4" width="8.7109375" style="17" customWidth="1"/>
    <col min="5" max="5" width="6.28515625" style="17" customWidth="1"/>
    <col min="6" max="6" width="7.7109375" style="17" customWidth="1"/>
    <col min="7" max="11" width="8.7109375" style="17" customWidth="1"/>
    <col min="12" max="12" width="6.85546875" style="17" customWidth="1"/>
    <col min="13" max="13" width="11.28515625" style="17" customWidth="1"/>
    <col min="14" max="14" width="8.7109375" style="17" customWidth="1"/>
    <col min="15" max="15" width="11" style="17" customWidth="1"/>
    <col min="16" max="17" width="8.7109375" style="17" customWidth="1"/>
    <col min="18" max="19" width="5.7109375" style="17" customWidth="1"/>
    <col min="20" max="26" width="8.85546875" style="16"/>
    <col min="27" max="16384" width="8.85546875" style="17"/>
  </cols>
  <sheetData>
    <row r="1" spans="1:15">
      <c r="A1" s="16"/>
      <c r="C1" s="341" t="s">
        <v>195</v>
      </c>
    </row>
    <row r="2" spans="1:15">
      <c r="A2" s="16"/>
    </row>
    <row r="3" spans="1:15">
      <c r="A3" s="16"/>
    </row>
    <row r="5" spans="1:15">
      <c r="O5" s="546" t="s">
        <v>431</v>
      </c>
    </row>
  </sheetData>
  <hyperlinks>
    <hyperlink ref="C1" r:id="rId1"/>
  </hyperlinks>
  <pageMargins left="0.7" right="0.7" top="0.75" bottom="0.75" header="0.3" footer="0.3"/>
  <pageSetup paperSize="9" orientation="portrait" r:id="rId2"/>
  <drawing r:id="rId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A41"/>
  <sheetViews>
    <sheetView workbookViewId="0">
      <selection activeCell="R8" sqref="R8"/>
    </sheetView>
  </sheetViews>
  <sheetFormatPr baseColWidth="10" defaultColWidth="9.140625" defaultRowHeight="15"/>
  <cols>
    <col min="1" max="2" width="5.28515625" customWidth="1"/>
    <col min="6" max="6" width="5.5703125" customWidth="1"/>
    <col min="9" max="9" width="2.85546875" customWidth="1"/>
    <col min="14" max="14" width="4.28515625" customWidth="1"/>
    <col min="18" max="18" width="6.28515625" customWidth="1"/>
    <col min="19" max="20" width="5.7109375" customWidth="1"/>
    <col min="21" max="25" width="8.85546875" style="2"/>
    <col min="26" max="26" width="2.7109375" style="2" customWidth="1"/>
    <col min="27" max="27" width="8.85546875" style="2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6" ht="16.899999999999999" customHeight="1">
      <c r="A2" s="367"/>
      <c r="B2" s="746"/>
      <c r="C2" s="746"/>
      <c r="D2" s="747"/>
      <c r="E2" s="747"/>
      <c r="F2" s="747"/>
      <c r="G2" s="747"/>
      <c r="H2" s="746"/>
      <c r="I2" s="746"/>
      <c r="J2" s="746"/>
      <c r="K2" s="748"/>
      <c r="L2" s="748"/>
      <c r="M2" s="748"/>
      <c r="N2" s="367"/>
      <c r="O2" s="746"/>
      <c r="P2" s="746"/>
      <c r="Q2" s="743"/>
      <c r="R2" s="743"/>
      <c r="S2" s="103"/>
      <c r="T2" s="103"/>
    </row>
    <row r="3" spans="1:26" ht="6" customHeight="1">
      <c r="A3" s="367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367"/>
    </row>
    <row r="4" spans="1:26" ht="16.899999999999999" customHeight="1">
      <c r="A4" s="367"/>
      <c r="B4" s="15"/>
      <c r="C4" s="797" t="s">
        <v>15</v>
      </c>
      <c r="D4" s="797"/>
      <c r="E4" s="797"/>
      <c r="F4" s="797"/>
      <c r="G4" s="32"/>
      <c r="H4" s="798"/>
      <c r="I4" s="798"/>
      <c r="J4" s="798"/>
      <c r="K4" s="798"/>
      <c r="L4" s="799" t="s">
        <v>14</v>
      </c>
      <c r="M4" s="799"/>
      <c r="N4" s="799"/>
      <c r="O4" s="838" t="s">
        <v>20</v>
      </c>
      <c r="P4" s="838"/>
      <c r="Q4" s="32" t="e">
        <f>VLOOKUP(O4,'Default values '!D1:E9,2,TRUE)</f>
        <v>#N/A</v>
      </c>
      <c r="R4" s="15"/>
      <c r="S4" s="15"/>
      <c r="T4" s="103"/>
    </row>
    <row r="5" spans="1:26" ht="13.9" customHeight="1">
      <c r="A5" s="367"/>
      <c r="B5" s="15"/>
      <c r="C5" s="797"/>
      <c r="D5" s="797"/>
      <c r="E5" s="797"/>
      <c r="F5" s="797"/>
      <c r="G5" s="32"/>
      <c r="H5" s="798"/>
      <c r="I5" s="798"/>
      <c r="J5" s="798"/>
      <c r="K5" s="798"/>
      <c r="L5" s="799"/>
      <c r="M5" s="799"/>
      <c r="N5" s="799"/>
      <c r="O5" s="838"/>
      <c r="P5" s="838"/>
      <c r="Q5" s="14"/>
      <c r="R5" s="15"/>
      <c r="S5" s="15"/>
      <c r="T5" s="367"/>
      <c r="W5" s="110"/>
      <c r="X5" s="110"/>
      <c r="Y5" s="110"/>
      <c r="Z5" s="110"/>
    </row>
    <row r="6" spans="1:26" ht="13.9" customHeight="1">
      <c r="A6" s="367"/>
      <c r="B6" s="15"/>
      <c r="C6" s="14"/>
      <c r="D6" s="369"/>
      <c r="E6" s="369"/>
      <c r="F6" s="369"/>
      <c r="G6" s="42"/>
      <c r="H6" s="276"/>
      <c r="I6" s="276"/>
      <c r="J6" s="276"/>
      <c r="K6" s="276"/>
      <c r="L6" s="14"/>
      <c r="M6" s="14"/>
      <c r="N6" s="14"/>
      <c r="O6" s="14"/>
      <c r="P6" s="14"/>
      <c r="Q6" s="14"/>
      <c r="R6" s="15"/>
      <c r="S6" s="15"/>
      <c r="T6" s="367"/>
      <c r="W6" s="110"/>
      <c r="X6" s="110"/>
      <c r="Y6" s="110"/>
      <c r="Z6" s="110"/>
    </row>
    <row r="7" spans="1:26" ht="13.9" customHeight="1">
      <c r="A7" s="367"/>
      <c r="B7" s="15"/>
      <c r="C7" s="14"/>
      <c r="D7" s="369"/>
      <c r="E7" s="369"/>
      <c r="F7" s="369"/>
      <c r="G7" s="42"/>
      <c r="H7" s="276"/>
      <c r="I7" s="276"/>
      <c r="J7" s="276"/>
      <c r="K7" s="276"/>
      <c r="L7" s="799" t="s">
        <v>256</v>
      </c>
      <c r="M7" s="799"/>
      <c r="N7" s="799"/>
      <c r="O7" s="850"/>
      <c r="P7" s="850"/>
      <c r="Q7" s="793"/>
      <c r="R7" s="15"/>
      <c r="S7" s="15"/>
      <c r="T7" s="367"/>
      <c r="W7" s="375"/>
      <c r="X7" s="375"/>
      <c r="Y7" s="375"/>
      <c r="Z7" s="110"/>
    </row>
    <row r="8" spans="1:26" ht="13.9" customHeight="1">
      <c r="A8" s="367"/>
      <c r="B8" s="15"/>
      <c r="C8" s="14"/>
      <c r="D8" s="369"/>
      <c r="E8" s="369"/>
      <c r="F8" s="369"/>
      <c r="G8" s="42"/>
      <c r="H8" s="276"/>
      <c r="I8" s="276"/>
      <c r="J8" s="276"/>
      <c r="K8" s="276"/>
      <c r="L8" s="799"/>
      <c r="M8" s="799"/>
      <c r="N8" s="799"/>
      <c r="O8" s="850"/>
      <c r="P8" s="850"/>
      <c r="Q8" s="793"/>
      <c r="R8" s="15"/>
      <c r="S8" s="15"/>
      <c r="T8" s="367"/>
      <c r="W8" s="375"/>
      <c r="X8" s="375"/>
      <c r="Y8" s="375"/>
      <c r="Z8" s="110"/>
    </row>
    <row r="9" spans="1:26" ht="13.9" customHeight="1">
      <c r="A9" s="367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367"/>
      <c r="W9" s="375"/>
      <c r="X9" s="375"/>
      <c r="Y9" s="375"/>
      <c r="Z9" s="110"/>
    </row>
    <row r="10" spans="1:26" ht="13.9" customHeight="1">
      <c r="A10" s="367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799" t="s">
        <v>39</v>
      </c>
      <c r="M10" s="799"/>
      <c r="N10" s="799"/>
      <c r="O10" s="850">
        <v>0</v>
      </c>
      <c r="P10" s="850"/>
      <c r="Q10" s="793" t="s">
        <v>22</v>
      </c>
      <c r="R10" s="15"/>
      <c r="S10" s="15"/>
      <c r="T10" s="367"/>
      <c r="W10" s="375"/>
      <c r="X10" s="375"/>
      <c r="Y10" s="375"/>
      <c r="Z10" s="110"/>
    </row>
    <row r="11" spans="1:26" ht="13.9" customHeight="1">
      <c r="A11" s="367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799"/>
      <c r="M11" s="799"/>
      <c r="N11" s="799"/>
      <c r="O11" s="850"/>
      <c r="P11" s="850"/>
      <c r="Q11" s="793"/>
      <c r="R11" s="15"/>
      <c r="S11" s="15"/>
      <c r="T11" s="367"/>
      <c r="W11" s="110"/>
      <c r="X11" s="110"/>
      <c r="Y11" s="110"/>
      <c r="Z11" s="110"/>
    </row>
    <row r="12" spans="1:26" ht="13.9" customHeight="1">
      <c r="A12" s="367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367"/>
    </row>
    <row r="13" spans="1:26" ht="13.9" customHeight="1">
      <c r="A13" s="367"/>
      <c r="B13" s="15"/>
      <c r="C13" s="360"/>
      <c r="D13" s="360"/>
      <c r="E13" s="360"/>
      <c r="F13" s="360"/>
      <c r="G13" s="360"/>
      <c r="H13" s="360"/>
      <c r="I13" s="360"/>
      <c r="J13" s="360"/>
      <c r="K13" s="360"/>
      <c r="L13" s="360"/>
      <c r="M13" s="360"/>
      <c r="N13" s="360"/>
      <c r="O13" s="360"/>
      <c r="P13" s="360"/>
      <c r="Q13" s="360"/>
      <c r="R13" s="360"/>
      <c r="S13" s="15"/>
      <c r="T13" s="367"/>
    </row>
    <row r="14" spans="1:26" ht="13.9" customHeight="1">
      <c r="A14" s="367"/>
      <c r="B14" s="15"/>
      <c r="C14" s="359"/>
      <c r="D14" s="794" t="s">
        <v>216</v>
      </c>
      <c r="E14" s="794"/>
      <c r="F14" s="794"/>
      <c r="G14" s="794"/>
      <c r="H14" s="794"/>
      <c r="I14" s="794"/>
      <c r="J14" s="794"/>
      <c r="K14" s="794"/>
      <c r="L14" s="794"/>
      <c r="M14" s="359"/>
      <c r="N14" s="359"/>
      <c r="O14" s="359"/>
      <c r="P14" s="359"/>
      <c r="Q14" s="359"/>
      <c r="R14" s="359"/>
      <c r="S14" s="345"/>
      <c r="T14" s="367"/>
    </row>
    <row r="15" spans="1:26" ht="13.9" customHeight="1">
      <c r="A15" s="367"/>
      <c r="B15" s="15"/>
      <c r="C15" s="359"/>
      <c r="D15" s="794"/>
      <c r="E15" s="794"/>
      <c r="F15" s="794"/>
      <c r="G15" s="794"/>
      <c r="H15" s="794"/>
      <c r="I15" s="794"/>
      <c r="J15" s="794"/>
      <c r="K15" s="794"/>
      <c r="L15" s="794"/>
      <c r="M15" s="359"/>
      <c r="N15" s="359"/>
      <c r="O15" s="359"/>
      <c r="P15" s="359"/>
      <c r="Q15" s="359"/>
      <c r="R15" s="359"/>
      <c r="S15" s="345"/>
      <c r="T15" s="367"/>
    </row>
    <row r="16" spans="1:26" ht="13.9" customHeight="1">
      <c r="A16" s="367"/>
      <c r="B16" s="15"/>
      <c r="C16" s="359"/>
      <c r="D16" s="359"/>
      <c r="E16" s="359"/>
      <c r="F16" s="359"/>
      <c r="G16" s="359"/>
      <c r="H16" s="359"/>
      <c r="I16" s="359"/>
      <c r="J16" s="359"/>
      <c r="K16" s="359"/>
      <c r="L16" s="359"/>
      <c r="M16" s="359"/>
      <c r="N16" s="359"/>
      <c r="O16" s="359"/>
      <c r="P16" s="359"/>
      <c r="Q16" s="359"/>
      <c r="R16" s="359"/>
      <c r="S16" s="345"/>
      <c r="T16" s="367"/>
    </row>
    <row r="17" spans="1:20" ht="13.9" customHeight="1">
      <c r="A17" s="367"/>
      <c r="B17" s="15"/>
      <c r="C17" s="359"/>
      <c r="D17" s="359"/>
      <c r="E17" s="359"/>
      <c r="F17" s="359"/>
      <c r="G17" s="359"/>
      <c r="H17" s="359"/>
      <c r="I17" s="359"/>
      <c r="J17" s="359"/>
      <c r="K17" s="359"/>
      <c r="L17" s="359"/>
      <c r="M17" s="359"/>
      <c r="N17" s="359"/>
      <c r="O17" s="359"/>
      <c r="P17" s="359"/>
      <c r="Q17" s="359"/>
      <c r="R17" s="359"/>
      <c r="S17" s="345"/>
      <c r="T17" s="367"/>
    </row>
    <row r="18" spans="1:20" ht="13.9" customHeight="1">
      <c r="A18" s="367"/>
      <c r="B18" s="15"/>
      <c r="C18" s="359"/>
      <c r="D18" s="359"/>
      <c r="E18" s="359"/>
      <c r="F18" s="359"/>
      <c r="G18" s="359"/>
      <c r="H18" s="359"/>
      <c r="I18" s="359"/>
      <c r="J18" s="359"/>
      <c r="K18" s="359"/>
      <c r="L18" s="359"/>
      <c r="M18" s="359"/>
      <c r="N18" s="359"/>
      <c r="O18" s="359"/>
      <c r="P18" s="359"/>
      <c r="Q18" s="359"/>
      <c r="R18" s="359"/>
      <c r="S18" s="345"/>
      <c r="T18" s="367"/>
    </row>
    <row r="19" spans="1:20" ht="13.9" customHeight="1">
      <c r="A19" s="367"/>
      <c r="B19" s="15"/>
      <c r="C19" s="359"/>
      <c r="D19" s="359"/>
      <c r="E19" s="359"/>
      <c r="F19" s="359"/>
      <c r="G19" s="359"/>
      <c r="H19" s="359"/>
      <c r="I19" s="359"/>
      <c r="J19" s="359"/>
      <c r="K19" s="359"/>
      <c r="L19" s="359"/>
      <c r="M19" s="359"/>
      <c r="N19" s="359"/>
      <c r="O19" s="359"/>
      <c r="P19" s="359"/>
      <c r="Q19" s="359"/>
      <c r="R19" s="359"/>
      <c r="S19" s="345"/>
      <c r="T19" s="367"/>
    </row>
    <row r="20" spans="1:20" ht="13.9" customHeight="1">
      <c r="A20" s="367"/>
      <c r="B20" s="15"/>
      <c r="C20" s="360"/>
      <c r="D20" s="360"/>
      <c r="E20" s="360"/>
      <c r="F20" s="360"/>
      <c r="G20" s="360"/>
      <c r="H20" s="360"/>
      <c r="I20" s="360"/>
      <c r="J20" s="360"/>
      <c r="K20" s="360"/>
      <c r="L20" s="360"/>
      <c r="M20" s="360"/>
      <c r="N20" s="360"/>
      <c r="O20" s="360"/>
      <c r="P20" s="360"/>
      <c r="Q20" s="360"/>
      <c r="R20" s="360"/>
      <c r="S20" s="15"/>
      <c r="T20" s="367"/>
    </row>
    <row r="21" spans="1:20" ht="14.45" customHeight="1">
      <c r="A21" s="367"/>
      <c r="B21" s="15"/>
      <c r="C21" s="360"/>
      <c r="D21" s="360"/>
      <c r="E21" s="360"/>
      <c r="F21" s="360"/>
      <c r="G21" s="360"/>
      <c r="H21" s="360"/>
      <c r="I21" s="360"/>
      <c r="J21" s="360"/>
      <c r="K21" s="360"/>
      <c r="L21" s="360"/>
      <c r="M21" s="360"/>
      <c r="N21" s="360"/>
      <c r="O21" s="360"/>
      <c r="P21" s="360"/>
      <c r="Q21" s="360"/>
      <c r="R21" s="360"/>
      <c r="S21" s="15"/>
      <c r="T21" s="367"/>
    </row>
    <row r="22" spans="1:20" ht="14.45" customHeight="1">
      <c r="A22" s="1"/>
      <c r="B22" s="15"/>
      <c r="C22" s="360"/>
      <c r="D22" s="360"/>
      <c r="E22" s="360"/>
      <c r="F22" s="360"/>
      <c r="G22" s="360"/>
      <c r="H22" s="360"/>
      <c r="I22" s="360"/>
      <c r="J22" s="360"/>
      <c r="K22" s="360"/>
      <c r="L22" s="360"/>
      <c r="M22" s="360"/>
      <c r="N22" s="360"/>
      <c r="O22" s="360"/>
      <c r="P22" s="360"/>
      <c r="Q22" s="360"/>
      <c r="R22" s="360"/>
      <c r="S22" s="15"/>
      <c r="T22" s="1"/>
    </row>
    <row r="23" spans="1:20" ht="14.45" customHeight="1">
      <c r="A23" s="1"/>
      <c r="B23" s="367"/>
      <c r="C23" s="360"/>
      <c r="D23" s="360"/>
      <c r="E23" s="360"/>
      <c r="F23" s="360"/>
      <c r="G23" s="360"/>
      <c r="H23" s="360"/>
      <c r="I23" s="360"/>
      <c r="J23" s="360"/>
      <c r="K23" s="360"/>
      <c r="L23" s="360"/>
      <c r="M23" s="360"/>
      <c r="N23" s="360"/>
      <c r="O23" s="360"/>
      <c r="P23" s="360"/>
      <c r="Q23" s="360"/>
      <c r="R23" s="360"/>
      <c r="S23" s="1"/>
      <c r="T23" s="1"/>
    </row>
    <row r="24" spans="1:20" ht="14.45" customHeight="1">
      <c r="A24" s="1"/>
      <c r="B24" s="367"/>
      <c r="C24" s="360"/>
      <c r="D24" s="360"/>
      <c r="E24" s="360"/>
      <c r="F24" s="360"/>
      <c r="G24" s="360"/>
      <c r="H24" s="360"/>
      <c r="I24" s="360"/>
      <c r="J24" s="360"/>
      <c r="K24" s="360"/>
      <c r="L24" s="360"/>
      <c r="M24" s="360"/>
      <c r="N24" s="360"/>
      <c r="O24" s="360"/>
      <c r="P24" s="360"/>
      <c r="Q24" s="360"/>
      <c r="R24" s="360"/>
      <c r="S24" s="1"/>
      <c r="T24" s="1"/>
    </row>
    <row r="25" spans="1:20" ht="18" customHeight="1">
      <c r="A25" s="1"/>
      <c r="B25" s="109"/>
      <c r="C25" s="360"/>
      <c r="D25" s="360"/>
      <c r="E25" s="360"/>
      <c r="F25" s="360"/>
      <c r="G25" s="360"/>
      <c r="H25" s="360"/>
      <c r="I25" s="360"/>
      <c r="J25" s="360"/>
      <c r="K25" s="360"/>
      <c r="L25" s="360"/>
      <c r="M25" s="360"/>
      <c r="N25" s="360"/>
      <c r="O25" s="360"/>
      <c r="P25" s="360"/>
      <c r="Q25" s="360"/>
      <c r="R25" s="360"/>
      <c r="S25" s="3"/>
      <c r="T25" s="1"/>
    </row>
    <row r="26" spans="1:20">
      <c r="A26" s="1"/>
      <c r="B26" s="1"/>
      <c r="C26" s="367"/>
      <c r="D26" s="367"/>
      <c r="E26" s="367"/>
      <c r="F26" s="367"/>
      <c r="G26" s="367"/>
      <c r="H26" s="367"/>
      <c r="I26" s="367"/>
      <c r="J26" s="15"/>
      <c r="K26" s="367"/>
      <c r="L26" s="1"/>
      <c r="M26" s="1"/>
      <c r="N26" s="1"/>
      <c r="O26" s="1"/>
      <c r="P26" s="1"/>
      <c r="Q26" s="1"/>
      <c r="R26" s="1"/>
      <c r="S26" s="1"/>
      <c r="T26" s="1"/>
    </row>
    <row r="27" spans="1:20" ht="18.75">
      <c r="A27" s="1"/>
      <c r="B27" s="741"/>
      <c r="C27" s="741"/>
      <c r="D27" s="795"/>
      <c r="E27" s="795"/>
      <c r="F27" s="795"/>
      <c r="G27" s="795"/>
      <c r="H27" s="1"/>
      <c r="I27" s="1"/>
      <c r="J27" s="741"/>
      <c r="K27" s="741"/>
      <c r="L27" s="796"/>
      <c r="M27" s="796"/>
      <c r="N27" s="3"/>
      <c r="O27" s="1"/>
      <c r="P27" s="1"/>
      <c r="Q27" s="1"/>
      <c r="R27" s="1"/>
      <c r="S27" s="1"/>
      <c r="T27" s="1"/>
    </row>
    <row r="28" spans="1:20">
      <c r="A28" s="1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"/>
    </row>
    <row r="29" spans="1:20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</sheetData>
  <mergeCells count="21">
    <mergeCell ref="Q2:R2"/>
    <mergeCell ref="B2:C2"/>
    <mergeCell ref="D2:G2"/>
    <mergeCell ref="H2:J2"/>
    <mergeCell ref="K2:M2"/>
    <mergeCell ref="O2:P2"/>
    <mergeCell ref="C4:F5"/>
    <mergeCell ref="H4:K5"/>
    <mergeCell ref="L4:N5"/>
    <mergeCell ref="O4:P5"/>
    <mergeCell ref="L7:N8"/>
    <mergeCell ref="O7:P8"/>
    <mergeCell ref="Q7:Q8"/>
    <mergeCell ref="D14:L15"/>
    <mergeCell ref="B27:C27"/>
    <mergeCell ref="D27:G27"/>
    <mergeCell ref="J27:K27"/>
    <mergeCell ref="L27:M27"/>
    <mergeCell ref="L10:N11"/>
    <mergeCell ref="O10:P11"/>
    <mergeCell ref="Q10:Q11"/>
  </mergeCells>
  <conditionalFormatting sqref="F26:G26">
    <cfRule type="cellIs" dxfId="0" priority="1" operator="greaterThan">
      <formula>55</formula>
    </cfRule>
  </conditionalFormatting>
  <pageMargins left="0.7" right="0.7" top="0.75" bottom="0.75" header="0.3" footer="0.3"/>
  <drawing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FEA03F8-0C2A-497B-9EB8-B1550C63FE2C}">
          <x14:formula1>
            <xm:f>'Default values '!$C$2:$C$10</xm:f>
          </x14:formula1>
          <xm:sqref>O4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>
  <dimension ref="A1:L42"/>
  <sheetViews>
    <sheetView topLeftCell="A16" workbookViewId="0">
      <selection activeCell="H39" sqref="H39"/>
    </sheetView>
  </sheetViews>
  <sheetFormatPr baseColWidth="10" defaultColWidth="9.140625" defaultRowHeight="15"/>
  <cols>
    <col min="1" max="1" width="33.85546875" customWidth="1"/>
    <col min="4" max="4" width="32.7109375" customWidth="1"/>
    <col min="5" max="5" width="11" customWidth="1"/>
    <col min="6" max="7" width="7.7109375" customWidth="1"/>
  </cols>
  <sheetData>
    <row r="1" spans="1:12" ht="15.75" thickBot="1">
      <c r="A1" s="1006" t="s">
        <v>340</v>
      </c>
      <c r="B1" s="1007"/>
      <c r="D1" s="999" t="s">
        <v>345</v>
      </c>
      <c r="E1" s="1000"/>
      <c r="F1" s="481"/>
      <c r="G1" s="481"/>
      <c r="K1" s="198" t="s">
        <v>158</v>
      </c>
      <c r="L1" s="198" t="s">
        <v>46</v>
      </c>
    </row>
    <row r="2" spans="1:12" ht="15.75" thickBot="1">
      <c r="A2" s="473" t="s">
        <v>341</v>
      </c>
      <c r="B2" s="474" t="s">
        <v>342</v>
      </c>
      <c r="D2" s="61" t="s">
        <v>136</v>
      </c>
      <c r="E2" s="479">
        <v>1.6</v>
      </c>
      <c r="F2" s="480"/>
      <c r="G2" s="480"/>
      <c r="K2" s="485">
        <v>10</v>
      </c>
      <c r="L2" s="486">
        <v>1.7999999999999999E-2</v>
      </c>
    </row>
    <row r="3" spans="1:12">
      <c r="A3" s="175" t="s">
        <v>324</v>
      </c>
      <c r="B3" s="247">
        <v>0.8</v>
      </c>
      <c r="D3" s="61" t="s">
        <v>137</v>
      </c>
      <c r="E3" s="479">
        <v>5</v>
      </c>
      <c r="F3" s="480"/>
      <c r="G3" s="480"/>
      <c r="K3" s="485">
        <v>15</v>
      </c>
      <c r="L3" s="486">
        <v>2.1999999999999999E-2</v>
      </c>
    </row>
    <row r="4" spans="1:12">
      <c r="A4" s="96" t="s">
        <v>325</v>
      </c>
      <c r="B4" s="248">
        <v>0.3</v>
      </c>
      <c r="K4" s="485">
        <v>20</v>
      </c>
      <c r="L4" s="486">
        <v>2.7E-2</v>
      </c>
    </row>
    <row r="5" spans="1:12" ht="15.75" thickBot="1">
      <c r="A5" s="96" t="s">
        <v>326</v>
      </c>
      <c r="B5" s="248">
        <v>0.6</v>
      </c>
      <c r="D5" s="1001" t="s">
        <v>112</v>
      </c>
      <c r="E5" s="1002"/>
      <c r="F5" s="1002"/>
      <c r="G5" s="1002"/>
      <c r="K5" s="485">
        <v>25</v>
      </c>
      <c r="L5" s="486">
        <v>3.4000000000000002E-2</v>
      </c>
    </row>
    <row r="6" spans="1:12">
      <c r="A6" s="96" t="s">
        <v>327</v>
      </c>
      <c r="B6" s="248">
        <v>0.8</v>
      </c>
      <c r="D6" s="482"/>
      <c r="E6" s="483" t="s">
        <v>22</v>
      </c>
      <c r="F6" s="484" t="s">
        <v>286</v>
      </c>
      <c r="G6" s="484" t="s">
        <v>287</v>
      </c>
      <c r="K6" s="485">
        <v>32</v>
      </c>
      <c r="L6" s="486">
        <v>4.2999999999999997E-2</v>
      </c>
    </row>
    <row r="7" spans="1:12">
      <c r="A7" s="96" t="s">
        <v>328</v>
      </c>
      <c r="B7" s="248">
        <v>0.9</v>
      </c>
      <c r="D7" s="448" t="s">
        <v>81</v>
      </c>
      <c r="E7" s="449">
        <v>80</v>
      </c>
      <c r="F7" s="450">
        <v>20</v>
      </c>
      <c r="G7" s="450">
        <v>100</v>
      </c>
      <c r="K7" s="485">
        <v>40</v>
      </c>
      <c r="L7" s="486">
        <v>4.9000000000000002E-2</v>
      </c>
    </row>
    <row r="8" spans="1:12">
      <c r="A8" s="96" t="s">
        <v>329</v>
      </c>
      <c r="B8" s="248">
        <v>0.9</v>
      </c>
      <c r="D8" s="448" t="s">
        <v>81</v>
      </c>
      <c r="E8" s="449">
        <v>150</v>
      </c>
      <c r="F8" s="450">
        <v>30</v>
      </c>
      <c r="G8" s="450">
        <v>180</v>
      </c>
      <c r="K8" s="485">
        <v>50</v>
      </c>
      <c r="L8" s="486">
        <v>6.0999999999999999E-2</v>
      </c>
    </row>
    <row r="9" spans="1:12" ht="15.75" thickBot="1">
      <c r="A9" s="97" t="s">
        <v>11</v>
      </c>
      <c r="B9" s="472" t="s">
        <v>339</v>
      </c>
      <c r="D9" s="448" t="s">
        <v>81</v>
      </c>
      <c r="E9" s="449">
        <v>250</v>
      </c>
      <c r="F9" s="450">
        <v>50</v>
      </c>
      <c r="G9" s="450">
        <v>250</v>
      </c>
      <c r="K9" s="485">
        <v>60</v>
      </c>
      <c r="L9" s="486">
        <v>7.1999999999999995E-2</v>
      </c>
    </row>
    <row r="10" spans="1:12" ht="15.75" thickBot="1">
      <c r="D10" s="448" t="s">
        <v>81</v>
      </c>
      <c r="E10" s="449"/>
      <c r="F10" s="450">
        <v>80</v>
      </c>
      <c r="G10" s="450">
        <v>300</v>
      </c>
      <c r="K10" s="485">
        <v>65</v>
      </c>
      <c r="L10" s="486">
        <v>7.6999999999999999E-2</v>
      </c>
    </row>
    <row r="11" spans="1:12" ht="15.75" thickBot="1">
      <c r="A11" s="1004" t="s">
        <v>343</v>
      </c>
      <c r="B11" s="1005"/>
      <c r="K11" s="485">
        <v>80</v>
      </c>
      <c r="L11" s="486">
        <v>8.8999999999999996E-2</v>
      </c>
    </row>
    <row r="12" spans="1:12" ht="15.75" thickBot="1">
      <c r="A12" s="473" t="s">
        <v>341</v>
      </c>
      <c r="B12" s="474" t="s">
        <v>342</v>
      </c>
      <c r="D12" s="1001" t="s">
        <v>110</v>
      </c>
      <c r="E12" s="1003"/>
      <c r="K12" s="485">
        <v>100</v>
      </c>
      <c r="L12" s="486">
        <v>0.115</v>
      </c>
    </row>
    <row r="13" spans="1:12" ht="15.75" thickBot="1">
      <c r="A13" s="176" t="s">
        <v>134</v>
      </c>
      <c r="B13" s="245">
        <v>1000</v>
      </c>
      <c r="D13" s="163" t="s">
        <v>53</v>
      </c>
      <c r="E13" s="297">
        <v>1.5</v>
      </c>
      <c r="K13" s="485">
        <v>125</v>
      </c>
      <c r="L13" s="486">
        <v>0.14099999999999999</v>
      </c>
    </row>
    <row r="14" spans="1:12">
      <c r="A14" s="93" t="s">
        <v>18</v>
      </c>
      <c r="B14" s="246">
        <v>2000</v>
      </c>
      <c r="D14" s="164" t="s">
        <v>47</v>
      </c>
      <c r="E14" s="165">
        <f>0.0338</f>
        <v>3.3799999999999997E-2</v>
      </c>
      <c r="K14" s="485">
        <v>150</v>
      </c>
      <c r="L14" s="486">
        <v>0.16900000000000001</v>
      </c>
    </row>
    <row r="15" spans="1:12">
      <c r="A15" s="93" t="s">
        <v>133</v>
      </c>
      <c r="B15" s="246">
        <v>3000</v>
      </c>
      <c r="D15" s="164" t="s">
        <v>48</v>
      </c>
      <c r="E15" s="165">
        <v>1.1730000000000001E-4</v>
      </c>
      <c r="K15" s="485">
        <v>200</v>
      </c>
      <c r="L15" s="486">
        <v>0.22</v>
      </c>
    </row>
    <row r="16" spans="1:12">
      <c r="A16" s="93" t="s">
        <v>32</v>
      </c>
      <c r="B16" s="246">
        <v>4380</v>
      </c>
      <c r="D16" s="164" t="s">
        <v>49</v>
      </c>
      <c r="E16" s="165">
        <v>7.5450000000000004E-8</v>
      </c>
      <c r="G16" s="577" t="s">
        <v>456</v>
      </c>
      <c r="K16" s="485">
        <v>250</v>
      </c>
      <c r="L16" s="486">
        <v>0.27300000000000002</v>
      </c>
    </row>
    <row r="17" spans="1:12" ht="15.75" thickBot="1">
      <c r="A17" s="93" t="s">
        <v>20</v>
      </c>
      <c r="B17" s="246">
        <v>5000</v>
      </c>
      <c r="D17" s="166" t="s">
        <v>50</v>
      </c>
      <c r="E17" s="167">
        <v>7.109E-10</v>
      </c>
      <c r="K17" s="485">
        <v>300</v>
      </c>
      <c r="L17" s="486">
        <v>0.32400000000000001</v>
      </c>
    </row>
    <row r="18" spans="1:12">
      <c r="A18" s="93" t="s">
        <v>21</v>
      </c>
      <c r="B18" s="246">
        <v>6000</v>
      </c>
      <c r="K18" s="485">
        <v>350</v>
      </c>
      <c r="L18" s="486">
        <v>0.35599999999999998</v>
      </c>
    </row>
    <row r="19" spans="1:12">
      <c r="A19" s="93" t="s">
        <v>19</v>
      </c>
      <c r="B19" s="246">
        <v>7000</v>
      </c>
      <c r="K19" s="485">
        <v>400</v>
      </c>
      <c r="L19" s="486">
        <v>0.40699999999999997</v>
      </c>
    </row>
    <row r="20" spans="1:12">
      <c r="A20" s="93" t="s">
        <v>33</v>
      </c>
      <c r="B20" s="246">
        <v>8760</v>
      </c>
      <c r="G20" t="s">
        <v>455</v>
      </c>
      <c r="K20" s="485">
        <v>450</v>
      </c>
      <c r="L20" s="486">
        <v>0.45800000000000002</v>
      </c>
    </row>
    <row r="21" spans="1:12" ht="15.75" thickBot="1">
      <c r="A21" s="94" t="s">
        <v>135</v>
      </c>
      <c r="B21" s="95"/>
      <c r="K21" s="485">
        <v>500</v>
      </c>
      <c r="L21" s="486">
        <v>0.50800000000000001</v>
      </c>
    </row>
    <row r="22" spans="1:12">
      <c r="K22" s="485">
        <v>600</v>
      </c>
      <c r="L22" s="486">
        <v>0.61</v>
      </c>
    </row>
    <row r="23" spans="1:12" ht="15.75" thickBot="1">
      <c r="K23" s="485">
        <v>700</v>
      </c>
      <c r="L23" s="486">
        <v>0.71199999999999997</v>
      </c>
    </row>
    <row r="24" spans="1:12">
      <c r="A24" s="999" t="s">
        <v>344</v>
      </c>
      <c r="B24" s="1000"/>
      <c r="D24" s="578" t="s">
        <v>453</v>
      </c>
      <c r="E24" s="579" t="s">
        <v>458</v>
      </c>
      <c r="K24" s="485">
        <v>800</v>
      </c>
      <c r="L24" s="486">
        <v>0.81299999999999994</v>
      </c>
    </row>
    <row r="25" spans="1:12">
      <c r="A25" s="475" t="s">
        <v>162</v>
      </c>
      <c r="B25" s="476">
        <v>3.1415999999999999</v>
      </c>
      <c r="C25" s="161"/>
      <c r="D25" s="643" t="s">
        <v>479</v>
      </c>
      <c r="E25" s="644">
        <f>F25*$G$32</f>
        <v>354.33</v>
      </c>
      <c r="F25" s="642">
        <v>228.6</v>
      </c>
      <c r="K25" s="485">
        <v>900</v>
      </c>
      <c r="L25" s="486">
        <v>0.91500000000000004</v>
      </c>
    </row>
    <row r="26" spans="1:12">
      <c r="A26" s="477" t="s">
        <v>80</v>
      </c>
      <c r="B26" s="536">
        <v>5.6703669999999997E-8</v>
      </c>
      <c r="C26" s="161"/>
      <c r="D26" s="643" t="s">
        <v>480</v>
      </c>
      <c r="E26" s="644">
        <f t="shared" ref="E26:E31" si="0">F26*$G$32</f>
        <v>318.83499999999998</v>
      </c>
      <c r="F26" s="642">
        <v>205.7</v>
      </c>
      <c r="K26" s="485">
        <v>1000</v>
      </c>
      <c r="L26" s="486">
        <v>1.016</v>
      </c>
    </row>
    <row r="27" spans="1:12">
      <c r="A27" s="478" t="s">
        <v>86</v>
      </c>
      <c r="B27" s="535">
        <v>55</v>
      </c>
      <c r="C27" s="361"/>
      <c r="D27" s="643" t="s">
        <v>481</v>
      </c>
      <c r="E27" s="644">
        <f t="shared" si="0"/>
        <v>333.87</v>
      </c>
      <c r="F27" s="642">
        <v>215.4</v>
      </c>
      <c r="K27" s="485">
        <v>1100</v>
      </c>
      <c r="L27" s="486">
        <v>1.1200000000000001</v>
      </c>
    </row>
    <row r="28" spans="1:12">
      <c r="A28" s="477" t="s">
        <v>140</v>
      </c>
      <c r="B28" s="537">
        <v>55</v>
      </c>
      <c r="C28" s="161"/>
      <c r="D28" s="643" t="s">
        <v>488</v>
      </c>
      <c r="E28" s="644">
        <f t="shared" si="0"/>
        <v>250.01500000000001</v>
      </c>
      <c r="F28" s="642">
        <v>161.30000000000001</v>
      </c>
      <c r="K28" s="485">
        <v>1200</v>
      </c>
      <c r="L28" s="486">
        <v>1.22</v>
      </c>
    </row>
    <row r="29" spans="1:12">
      <c r="A29" s="477" t="s">
        <v>429</v>
      </c>
      <c r="B29" s="537">
        <v>35</v>
      </c>
      <c r="C29" s="161"/>
      <c r="D29" s="643" t="s">
        <v>482</v>
      </c>
      <c r="E29" s="644">
        <f t="shared" si="0"/>
        <v>243.66</v>
      </c>
      <c r="F29" s="642">
        <v>157.19999999999999</v>
      </c>
      <c r="K29" s="485">
        <v>1400</v>
      </c>
      <c r="L29" s="486">
        <v>1.42</v>
      </c>
    </row>
    <row r="30" spans="1:12">
      <c r="A30" s="477" t="s">
        <v>151</v>
      </c>
      <c r="B30" s="537">
        <v>0.8</v>
      </c>
      <c r="C30" s="161"/>
      <c r="D30" s="643" t="s">
        <v>483</v>
      </c>
      <c r="E30" s="644">
        <f t="shared" si="0"/>
        <v>215.45000000000002</v>
      </c>
      <c r="F30" s="642">
        <v>139</v>
      </c>
      <c r="K30" s="485">
        <v>1500</v>
      </c>
      <c r="L30" s="486">
        <v>1.52</v>
      </c>
    </row>
    <row r="31" spans="1:12" ht="15.75" thickBot="1">
      <c r="A31" s="477" t="s">
        <v>300</v>
      </c>
      <c r="B31" s="537">
        <v>90</v>
      </c>
      <c r="C31" s="161"/>
      <c r="D31" s="643" t="s">
        <v>484</v>
      </c>
      <c r="E31" s="644">
        <f t="shared" si="0"/>
        <v>181.35</v>
      </c>
      <c r="F31" s="642">
        <v>117</v>
      </c>
      <c r="K31" s="485">
        <v>1600</v>
      </c>
      <c r="L31" s="486">
        <v>1.62</v>
      </c>
    </row>
    <row r="32" spans="1:12" ht="15.75" thickBot="1">
      <c r="A32" s="477" t="s">
        <v>430</v>
      </c>
      <c r="B32" s="476">
        <v>0.85</v>
      </c>
      <c r="C32" s="641"/>
      <c r="D32" s="645" t="s">
        <v>485</v>
      </c>
      <c r="E32" s="644">
        <v>342</v>
      </c>
      <c r="F32" s="580"/>
      <c r="G32" s="476">
        <v>1.55</v>
      </c>
      <c r="H32" s="576" t="s">
        <v>454</v>
      </c>
      <c r="K32" s="485">
        <v>1800</v>
      </c>
      <c r="L32" s="486">
        <v>1.82</v>
      </c>
    </row>
    <row r="33" spans="1:12">
      <c r="A33" s="478" t="s">
        <v>399</v>
      </c>
      <c r="B33" s="535">
        <v>0</v>
      </c>
      <c r="D33" s="646" t="s">
        <v>503</v>
      </c>
      <c r="E33" s="644">
        <v>353</v>
      </c>
      <c r="H33" s="577" t="s">
        <v>457</v>
      </c>
      <c r="K33" s="485">
        <v>2000</v>
      </c>
      <c r="L33" s="486">
        <v>2.02</v>
      </c>
    </row>
    <row r="34" spans="1:12">
      <c r="D34" s="647" t="s">
        <v>502</v>
      </c>
      <c r="E34" s="644">
        <v>410</v>
      </c>
      <c r="K34" s="485">
        <v>2000</v>
      </c>
      <c r="L34" s="486">
        <v>2.02</v>
      </c>
    </row>
    <row r="35" spans="1:12">
      <c r="D35" s="643" t="s">
        <v>486</v>
      </c>
      <c r="E35" s="644">
        <v>381</v>
      </c>
      <c r="K35" s="485">
        <v>2200</v>
      </c>
      <c r="L35" s="486">
        <v>2.2200000000000002</v>
      </c>
    </row>
    <row r="36" spans="1:12" ht="15.75" thickBot="1">
      <c r="D36" s="648" t="s">
        <v>487</v>
      </c>
      <c r="E36" s="649">
        <v>202</v>
      </c>
      <c r="K36" s="485">
        <v>2400</v>
      </c>
      <c r="L36" s="486">
        <v>2.42</v>
      </c>
    </row>
    <row r="37" spans="1:12">
      <c r="K37" s="485">
        <v>2600</v>
      </c>
      <c r="L37" s="486">
        <v>2.62</v>
      </c>
    </row>
    <row r="38" spans="1:12">
      <c r="K38" s="485">
        <v>2800</v>
      </c>
      <c r="L38" s="486">
        <v>2.82</v>
      </c>
    </row>
    <row r="39" spans="1:12">
      <c r="K39" s="485">
        <v>3000</v>
      </c>
      <c r="L39" s="486">
        <v>3.02</v>
      </c>
    </row>
    <row r="40" spans="1:12">
      <c r="K40" s="485">
        <v>3200</v>
      </c>
      <c r="L40" s="486">
        <v>3.22</v>
      </c>
    </row>
    <row r="41" spans="1:12">
      <c r="K41" s="485">
        <v>3400</v>
      </c>
      <c r="L41" s="486">
        <v>3.42</v>
      </c>
    </row>
    <row r="42" spans="1:12">
      <c r="K42" s="16"/>
      <c r="L42" s="16"/>
    </row>
  </sheetData>
  <mergeCells count="6">
    <mergeCell ref="A24:B24"/>
    <mergeCell ref="D5:G5"/>
    <mergeCell ref="D12:E12"/>
    <mergeCell ref="A11:B11"/>
    <mergeCell ref="A1:B1"/>
    <mergeCell ref="D1:E1"/>
  </mergeCells>
  <hyperlinks>
    <hyperlink ref="G16" r:id="rId1"/>
    <hyperlink ref="H33" r:id="rId2"/>
  </hyperlinks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dimension ref="A1:J7"/>
  <sheetViews>
    <sheetView workbookViewId="0">
      <selection activeCell="G11" sqref="G11"/>
    </sheetView>
  </sheetViews>
  <sheetFormatPr baseColWidth="10" defaultColWidth="9.140625" defaultRowHeight="15"/>
  <cols>
    <col min="1" max="1" width="48.7109375" customWidth="1"/>
    <col min="2" max="2" width="25.7109375" customWidth="1"/>
  </cols>
  <sheetData>
    <row r="1" spans="1:10" ht="60">
      <c r="A1" t="s">
        <v>414</v>
      </c>
      <c r="B1" s="527" t="s">
        <v>404</v>
      </c>
      <c r="C1" s="158" t="s">
        <v>116</v>
      </c>
      <c r="D1" s="158" t="s">
        <v>117</v>
      </c>
      <c r="E1" s="158" t="s">
        <v>118</v>
      </c>
      <c r="F1" s="158" t="s">
        <v>119</v>
      </c>
      <c r="G1" s="158" t="s">
        <v>373</v>
      </c>
      <c r="H1" s="158" t="s">
        <v>124</v>
      </c>
      <c r="I1" s="158" t="s">
        <v>125</v>
      </c>
      <c r="J1" s="158" t="s">
        <v>381</v>
      </c>
    </row>
    <row r="2" spans="1:10" ht="36.6" customHeight="1">
      <c r="A2" t="s">
        <v>405</v>
      </c>
      <c r="B2" t="s">
        <v>412</v>
      </c>
      <c r="C2" s="527" t="s">
        <v>123</v>
      </c>
      <c r="D2" s="527" t="s">
        <v>123</v>
      </c>
      <c r="E2" s="527" t="s">
        <v>123</v>
      </c>
      <c r="F2" s="527" t="s">
        <v>123</v>
      </c>
      <c r="G2" s="527"/>
      <c r="H2" s="527" t="s">
        <v>123</v>
      </c>
      <c r="I2" s="527" t="s">
        <v>123</v>
      </c>
      <c r="J2" s="527"/>
    </row>
    <row r="3" spans="1:10" ht="36.6" customHeight="1">
      <c r="A3" t="s">
        <v>406</v>
      </c>
      <c r="B3" t="s">
        <v>408</v>
      </c>
      <c r="C3" s="527" t="s">
        <v>123</v>
      </c>
      <c r="D3" s="527" t="s">
        <v>123</v>
      </c>
      <c r="E3" s="527" t="s">
        <v>123</v>
      </c>
      <c r="F3" s="527" t="s">
        <v>123</v>
      </c>
      <c r="G3" s="527"/>
      <c r="H3" s="527"/>
      <c r="I3" s="527"/>
      <c r="J3" s="527"/>
    </row>
    <row r="4" spans="1:10" ht="36.6" customHeight="1">
      <c r="A4" t="s">
        <v>407</v>
      </c>
      <c r="B4" t="s">
        <v>408</v>
      </c>
      <c r="C4" s="527" t="s">
        <v>123</v>
      </c>
      <c r="D4" s="527" t="s">
        <v>123</v>
      </c>
      <c r="E4" s="527" t="s">
        <v>123</v>
      </c>
      <c r="F4" s="527" t="s">
        <v>123</v>
      </c>
      <c r="G4" s="527" t="s">
        <v>123</v>
      </c>
      <c r="H4" s="527" t="s">
        <v>123</v>
      </c>
      <c r="I4" s="527" t="s">
        <v>123</v>
      </c>
      <c r="J4" s="527" t="s">
        <v>123</v>
      </c>
    </row>
    <row r="5" spans="1:10" ht="36.6" customHeight="1">
      <c r="A5" t="s">
        <v>409</v>
      </c>
      <c r="B5" t="s">
        <v>410</v>
      </c>
      <c r="G5" s="527" t="s">
        <v>123</v>
      </c>
      <c r="H5" s="527"/>
      <c r="I5" s="527"/>
      <c r="J5" s="527" t="s">
        <v>123</v>
      </c>
    </row>
    <row r="6" spans="1:10" ht="36.6" customHeight="1">
      <c r="A6" t="s">
        <v>411</v>
      </c>
      <c r="B6" t="s">
        <v>413</v>
      </c>
      <c r="H6" s="527" t="s">
        <v>123</v>
      </c>
      <c r="I6" s="527" t="s">
        <v>123</v>
      </c>
    </row>
    <row r="7" spans="1:10" ht="36.6" customHeight="1">
      <c r="A7" t="s">
        <v>449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5"/>
  <dimension ref="A1:F17"/>
  <sheetViews>
    <sheetView workbookViewId="0">
      <selection activeCell="C23" sqref="C23"/>
    </sheetView>
  </sheetViews>
  <sheetFormatPr baseColWidth="10" defaultColWidth="9.140625" defaultRowHeight="15"/>
  <cols>
    <col min="1" max="1" width="29.28515625" customWidth="1"/>
    <col min="2" max="2" width="9.42578125" customWidth="1"/>
    <col min="3" max="3" width="22.28515625" customWidth="1"/>
    <col min="6" max="6" width="21.85546875" customWidth="1"/>
  </cols>
  <sheetData>
    <row r="1" spans="1:6" ht="15.75" thickBot="1">
      <c r="A1" s="1008" t="s">
        <v>16</v>
      </c>
      <c r="B1" s="1009"/>
      <c r="C1" s="1008" t="s">
        <v>17</v>
      </c>
      <c r="D1" s="1009"/>
      <c r="F1" t="s">
        <v>303</v>
      </c>
    </row>
    <row r="2" spans="1:6">
      <c r="A2" s="175" t="s">
        <v>324</v>
      </c>
      <c r="B2" s="247">
        <v>0.8</v>
      </c>
      <c r="C2" s="176" t="s">
        <v>134</v>
      </c>
      <c r="D2" s="245">
        <v>1000</v>
      </c>
      <c r="F2" t="s">
        <v>304</v>
      </c>
    </row>
    <row r="3" spans="1:6">
      <c r="A3" s="96" t="s">
        <v>325</v>
      </c>
      <c r="B3" s="248">
        <v>0.3</v>
      </c>
      <c r="C3" s="93" t="s">
        <v>18</v>
      </c>
      <c r="D3" s="246">
        <v>2000</v>
      </c>
      <c r="F3" t="s">
        <v>305</v>
      </c>
    </row>
    <row r="4" spans="1:6">
      <c r="A4" s="96" t="s">
        <v>326</v>
      </c>
      <c r="B4" s="248">
        <v>0.6</v>
      </c>
      <c r="C4" s="93" t="s">
        <v>133</v>
      </c>
      <c r="D4" s="246">
        <v>3000</v>
      </c>
      <c r="F4" t="s">
        <v>306</v>
      </c>
    </row>
    <row r="5" spans="1:6">
      <c r="A5" s="96" t="s">
        <v>327</v>
      </c>
      <c r="B5" s="248">
        <v>0.8</v>
      </c>
      <c r="C5" s="93" t="s">
        <v>32</v>
      </c>
      <c r="D5" s="246">
        <v>4380</v>
      </c>
      <c r="F5" t="s">
        <v>307</v>
      </c>
    </row>
    <row r="6" spans="1:6">
      <c r="A6" s="96" t="s">
        <v>328</v>
      </c>
      <c r="B6" s="248">
        <v>0.9</v>
      </c>
      <c r="C6" s="93" t="s">
        <v>20</v>
      </c>
      <c r="D6" s="246">
        <v>5000</v>
      </c>
      <c r="F6" t="s">
        <v>308</v>
      </c>
    </row>
    <row r="7" spans="1:6">
      <c r="A7" s="96" t="s">
        <v>329</v>
      </c>
      <c r="B7" s="248">
        <v>0.9</v>
      </c>
      <c r="C7" s="93" t="s">
        <v>21</v>
      </c>
      <c r="D7" s="246">
        <v>6000</v>
      </c>
    </row>
    <row r="8" spans="1:6" ht="15.75" thickBot="1">
      <c r="A8" s="97" t="s">
        <v>11</v>
      </c>
      <c r="B8" s="249"/>
      <c r="C8" s="93" t="s">
        <v>19</v>
      </c>
      <c r="D8" s="246">
        <v>7000</v>
      </c>
    </row>
    <row r="9" spans="1:6">
      <c r="C9" s="93" t="s">
        <v>33</v>
      </c>
      <c r="D9" s="246">
        <v>8760</v>
      </c>
    </row>
    <row r="10" spans="1:6" ht="15.75" thickBot="1">
      <c r="C10" s="94" t="s">
        <v>135</v>
      </c>
      <c r="D10" s="95"/>
    </row>
    <row r="11" spans="1:6">
      <c r="A11" s="175" t="s">
        <v>437</v>
      </c>
    </row>
    <row r="12" spans="1:6">
      <c r="A12" s="96" t="s">
        <v>12</v>
      </c>
    </row>
    <row r="13" spans="1:6">
      <c r="A13" s="96" t="s">
        <v>9</v>
      </c>
    </row>
    <row r="14" spans="1:6">
      <c r="A14" s="96" t="s">
        <v>10</v>
      </c>
    </row>
    <row r="15" spans="1:6">
      <c r="A15" s="96" t="s">
        <v>323</v>
      </c>
    </row>
    <row r="16" spans="1:6">
      <c r="A16" s="96" t="s">
        <v>24</v>
      </c>
    </row>
    <row r="17" spans="1:1" ht="15.75" thickBot="1">
      <c r="A17" s="97" t="s">
        <v>11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L33"/>
  <sheetViews>
    <sheetView topLeftCell="C4" workbookViewId="0">
      <selection activeCell="D21" sqref="D21"/>
    </sheetView>
  </sheetViews>
  <sheetFormatPr baseColWidth="10" defaultColWidth="9.140625" defaultRowHeight="15"/>
  <cols>
    <col min="1" max="1" width="60.42578125" customWidth="1"/>
    <col min="2" max="2" width="58" customWidth="1"/>
    <col min="3" max="3" width="58.7109375" customWidth="1"/>
    <col min="4" max="4" width="38.5703125" customWidth="1"/>
    <col min="5" max="5" width="44" customWidth="1"/>
    <col min="6" max="12" width="4.85546875" customWidth="1"/>
  </cols>
  <sheetData>
    <row r="1" spans="1:12" ht="49.15" customHeight="1">
      <c r="A1" s="122" t="s">
        <v>115</v>
      </c>
      <c r="B1" s="654"/>
      <c r="C1" s="122" t="s">
        <v>389</v>
      </c>
      <c r="D1" s="526" t="s">
        <v>390</v>
      </c>
      <c r="E1" s="122" t="s">
        <v>121</v>
      </c>
      <c r="F1" s="158" t="s">
        <v>116</v>
      </c>
      <c r="G1" s="158" t="s">
        <v>117</v>
      </c>
      <c r="H1" s="158" t="s">
        <v>118</v>
      </c>
      <c r="I1" s="158" t="s">
        <v>119</v>
      </c>
      <c r="J1" s="158" t="s">
        <v>124</v>
      </c>
      <c r="K1" s="158" t="s">
        <v>125</v>
      </c>
    </row>
    <row r="2" spans="1:12">
      <c r="A2" s="650" t="s">
        <v>120</v>
      </c>
      <c r="B2" s="650"/>
      <c r="C2" s="650"/>
      <c r="D2" s="650"/>
      <c r="E2" s="650"/>
      <c r="F2" s="650"/>
      <c r="G2" s="650"/>
      <c r="H2" s="650"/>
      <c r="I2" s="650"/>
      <c r="J2" s="650"/>
      <c r="K2" s="650"/>
      <c r="L2" s="650"/>
    </row>
    <row r="3" spans="1:12">
      <c r="A3" s="651" t="s">
        <v>382</v>
      </c>
      <c r="B3" s="651" t="s">
        <v>519</v>
      </c>
      <c r="C3" s="651" t="s">
        <v>402</v>
      </c>
      <c r="D3" s="651"/>
      <c r="E3" s="651" t="s">
        <v>122</v>
      </c>
      <c r="F3" s="652" t="s">
        <v>123</v>
      </c>
      <c r="G3" s="652" t="s">
        <v>123</v>
      </c>
      <c r="H3" s="652" t="s">
        <v>123</v>
      </c>
      <c r="I3" s="652" t="s">
        <v>123</v>
      </c>
      <c r="J3" s="652" t="s">
        <v>123</v>
      </c>
      <c r="K3" s="652" t="s">
        <v>123</v>
      </c>
    </row>
    <row r="4" spans="1:12">
      <c r="A4" s="651" t="s">
        <v>126</v>
      </c>
      <c r="B4" s="651" t="s">
        <v>520</v>
      </c>
      <c r="C4" s="651" t="s">
        <v>521</v>
      </c>
      <c r="D4" s="651"/>
      <c r="E4" s="651" t="s">
        <v>122</v>
      </c>
      <c r="F4" s="652" t="s">
        <v>123</v>
      </c>
      <c r="G4" s="652" t="s">
        <v>123</v>
      </c>
      <c r="H4" s="652" t="s">
        <v>123</v>
      </c>
      <c r="I4" s="652" t="s">
        <v>123</v>
      </c>
      <c r="J4" s="652" t="s">
        <v>123</v>
      </c>
      <c r="K4" s="652" t="s">
        <v>123</v>
      </c>
    </row>
    <row r="5" spans="1:12">
      <c r="A5" s="651" t="s">
        <v>127</v>
      </c>
      <c r="B5" s="651" t="s">
        <v>520</v>
      </c>
      <c r="C5" s="651" t="s">
        <v>522</v>
      </c>
      <c r="D5" s="651"/>
      <c r="E5" s="651" t="s">
        <v>122</v>
      </c>
      <c r="F5" s="652" t="s">
        <v>123</v>
      </c>
      <c r="G5" s="652"/>
      <c r="H5" s="652"/>
      <c r="I5" s="652"/>
      <c r="J5" s="652" t="s">
        <v>123</v>
      </c>
      <c r="K5" s="652"/>
    </row>
    <row r="6" spans="1:12">
      <c r="A6" s="651"/>
      <c r="B6" s="651"/>
      <c r="C6" s="651"/>
      <c r="D6" s="651"/>
      <c r="E6" s="651"/>
      <c r="F6" s="652"/>
      <c r="G6" s="652"/>
      <c r="H6" s="652"/>
      <c r="I6" s="652"/>
      <c r="J6" s="652"/>
      <c r="K6" s="652"/>
      <c r="L6" s="526"/>
    </row>
    <row r="7" spans="1:12">
      <c r="A7" s="651" t="s">
        <v>391</v>
      </c>
      <c r="B7" s="651" t="s">
        <v>520</v>
      </c>
      <c r="C7" s="651" t="s">
        <v>524</v>
      </c>
      <c r="D7" s="651"/>
      <c r="E7" s="651" t="s">
        <v>122</v>
      </c>
      <c r="F7" s="652"/>
      <c r="G7" s="652" t="s">
        <v>123</v>
      </c>
      <c r="H7" s="652"/>
      <c r="I7" s="652"/>
      <c r="J7" s="652"/>
      <c r="K7" s="652" t="s">
        <v>123</v>
      </c>
      <c r="L7" s="526"/>
    </row>
    <row r="8" spans="1:12">
      <c r="A8" s="651" t="s">
        <v>527</v>
      </c>
      <c r="B8" s="651" t="s">
        <v>520</v>
      </c>
      <c r="C8" s="651" t="s">
        <v>523</v>
      </c>
      <c r="D8" s="651"/>
      <c r="E8" s="651" t="s">
        <v>122</v>
      </c>
      <c r="F8" s="652"/>
      <c r="G8" s="652" t="s">
        <v>123</v>
      </c>
      <c r="H8" s="652" t="s">
        <v>123</v>
      </c>
      <c r="I8" s="652" t="s">
        <v>123</v>
      </c>
      <c r="J8" s="652"/>
      <c r="K8" s="652" t="s">
        <v>123</v>
      </c>
      <c r="L8" s="526"/>
    </row>
    <row r="9" spans="1:12">
      <c r="A9" s="651" t="s">
        <v>395</v>
      </c>
      <c r="B9" s="651" t="s">
        <v>520</v>
      </c>
      <c r="C9" s="651" t="s">
        <v>525</v>
      </c>
      <c r="D9" s="651"/>
      <c r="E9" s="651" t="s">
        <v>122</v>
      </c>
      <c r="F9" s="652"/>
      <c r="G9" s="652"/>
      <c r="H9" s="652" t="s">
        <v>123</v>
      </c>
      <c r="I9" s="652" t="s">
        <v>123</v>
      </c>
      <c r="J9" s="652"/>
      <c r="K9" s="652"/>
      <c r="L9" s="526"/>
    </row>
    <row r="10" spans="1:12">
      <c r="A10" s="651" t="s">
        <v>383</v>
      </c>
      <c r="B10" s="651" t="s">
        <v>520</v>
      </c>
      <c r="C10" s="651" t="s">
        <v>526</v>
      </c>
      <c r="D10" s="651"/>
      <c r="E10" s="651" t="s">
        <v>122</v>
      </c>
      <c r="F10" s="652" t="s">
        <v>123</v>
      </c>
      <c r="G10" s="652" t="s">
        <v>123</v>
      </c>
      <c r="H10" s="652" t="s">
        <v>123</v>
      </c>
      <c r="I10" s="652" t="s">
        <v>123</v>
      </c>
      <c r="J10" s="652" t="s">
        <v>123</v>
      </c>
      <c r="K10" s="652" t="s">
        <v>123</v>
      </c>
    </row>
    <row r="11" spans="1:12">
      <c r="A11" s="651" t="s">
        <v>128</v>
      </c>
      <c r="B11" s="651" t="s">
        <v>519</v>
      </c>
      <c r="C11" s="651" t="s">
        <v>403</v>
      </c>
      <c r="D11" s="651"/>
      <c r="E11" s="651" t="s">
        <v>122</v>
      </c>
      <c r="F11" s="652" t="s">
        <v>123</v>
      </c>
      <c r="G11" s="652" t="s">
        <v>123</v>
      </c>
      <c r="H11" s="652" t="s">
        <v>123</v>
      </c>
      <c r="I11" s="652" t="s">
        <v>123</v>
      </c>
      <c r="J11" s="652" t="s">
        <v>123</v>
      </c>
      <c r="K11" s="652" t="s">
        <v>123</v>
      </c>
    </row>
    <row r="12" spans="1:12">
      <c r="A12" s="651" t="s">
        <v>129</v>
      </c>
      <c r="B12" s="651" t="s">
        <v>520</v>
      </c>
      <c r="C12" s="651" t="s">
        <v>528</v>
      </c>
      <c r="D12" s="651"/>
      <c r="E12" s="651" t="s">
        <v>122</v>
      </c>
      <c r="F12" s="652" t="s">
        <v>123</v>
      </c>
      <c r="G12" s="652" t="s">
        <v>123</v>
      </c>
      <c r="H12" s="652" t="s">
        <v>123</v>
      </c>
      <c r="I12" s="652" t="s">
        <v>123</v>
      </c>
      <c r="J12" s="652" t="s">
        <v>123</v>
      </c>
      <c r="K12" s="652" t="s">
        <v>123</v>
      </c>
    </row>
    <row r="13" spans="1:12">
      <c r="A13" s="651" t="s">
        <v>386</v>
      </c>
      <c r="B13" s="651" t="s">
        <v>520</v>
      </c>
      <c r="C13" s="651" t="s">
        <v>529</v>
      </c>
      <c r="D13" s="651"/>
      <c r="E13" s="651" t="s">
        <v>122</v>
      </c>
      <c r="F13" s="652"/>
      <c r="G13" s="652"/>
      <c r="H13" s="652"/>
      <c r="I13" s="652"/>
      <c r="J13" s="652" t="s">
        <v>123</v>
      </c>
      <c r="K13" s="652" t="s">
        <v>123</v>
      </c>
    </row>
    <row r="14" spans="1:12">
      <c r="A14" s="651"/>
      <c r="B14" s="651"/>
      <c r="C14" s="651"/>
      <c r="D14" s="651"/>
      <c r="E14" s="651"/>
      <c r="F14" s="652"/>
      <c r="G14" s="652"/>
      <c r="H14" s="652"/>
      <c r="I14" s="652"/>
      <c r="J14" s="652"/>
      <c r="K14" s="652"/>
    </row>
    <row r="15" spans="1:12">
      <c r="A15" s="651" t="s">
        <v>400</v>
      </c>
      <c r="B15" s="651" t="s">
        <v>530</v>
      </c>
      <c r="C15" s="651" t="s">
        <v>401</v>
      </c>
      <c r="D15" s="651"/>
      <c r="E15" s="651" t="s">
        <v>122</v>
      </c>
      <c r="F15" s="652"/>
      <c r="G15" s="652"/>
      <c r="H15" s="652"/>
      <c r="I15" s="652"/>
      <c r="J15" s="652"/>
      <c r="K15" s="652"/>
    </row>
    <row r="16" spans="1:12">
      <c r="A16" s="651"/>
      <c r="B16" s="651"/>
      <c r="C16" s="651"/>
      <c r="D16" s="651"/>
      <c r="E16" s="651"/>
      <c r="F16" s="652"/>
      <c r="G16" s="652"/>
      <c r="H16" s="652"/>
      <c r="I16" s="652"/>
      <c r="J16" s="652"/>
      <c r="K16" s="652"/>
    </row>
    <row r="17" spans="1:11">
      <c r="A17" s="651"/>
      <c r="B17" s="651"/>
      <c r="C17" s="651"/>
      <c r="D17" s="651"/>
      <c r="E17" s="651"/>
      <c r="F17" s="652"/>
      <c r="G17" s="652"/>
      <c r="H17" s="652"/>
      <c r="I17" s="652"/>
      <c r="J17" s="652"/>
      <c r="K17" s="652"/>
    </row>
    <row r="18" spans="1:11">
      <c r="A18" s="651" t="s">
        <v>388</v>
      </c>
      <c r="B18" s="651" t="s">
        <v>531</v>
      </c>
      <c r="C18" s="651"/>
      <c r="D18" s="651" t="s">
        <v>397</v>
      </c>
      <c r="E18" s="651" t="s">
        <v>387</v>
      </c>
      <c r="F18" s="652" t="s">
        <v>123</v>
      </c>
      <c r="G18" s="652" t="s">
        <v>123</v>
      </c>
      <c r="H18" s="652" t="s">
        <v>123</v>
      </c>
      <c r="I18" s="652" t="s">
        <v>123</v>
      </c>
      <c r="J18" s="652" t="s">
        <v>123</v>
      </c>
      <c r="K18" s="652" t="s">
        <v>123</v>
      </c>
    </row>
    <row r="19" spans="1:11">
      <c r="A19" s="651" t="s">
        <v>221</v>
      </c>
      <c r="B19" s="655" t="s">
        <v>532</v>
      </c>
      <c r="C19" s="651" t="s">
        <v>533</v>
      </c>
      <c r="D19" s="651"/>
      <c r="E19" s="651" t="s">
        <v>122</v>
      </c>
      <c r="F19" s="651"/>
      <c r="G19" s="651"/>
      <c r="H19" s="651"/>
      <c r="I19" s="651"/>
      <c r="J19" s="652" t="s">
        <v>123</v>
      </c>
      <c r="K19" s="652" t="s">
        <v>123</v>
      </c>
    </row>
    <row r="20" spans="1:11">
      <c r="A20" s="651" t="s">
        <v>243</v>
      </c>
      <c r="B20" s="651"/>
      <c r="C20" s="651"/>
      <c r="D20" s="651" t="s">
        <v>398</v>
      </c>
      <c r="E20" s="651" t="s">
        <v>534</v>
      </c>
      <c r="F20" s="651"/>
      <c r="G20" s="651"/>
      <c r="H20" s="651"/>
      <c r="I20" s="651"/>
      <c r="J20" s="652" t="s">
        <v>123</v>
      </c>
      <c r="K20" s="652" t="s">
        <v>123</v>
      </c>
    </row>
    <row r="21" spans="1:11">
      <c r="A21" s="651"/>
      <c r="B21" s="651"/>
      <c r="C21" s="651"/>
      <c r="D21" s="651"/>
      <c r="E21" s="651"/>
      <c r="F21" s="651"/>
      <c r="G21" s="651"/>
      <c r="H21" s="651"/>
      <c r="I21" s="651"/>
      <c r="J21" s="652"/>
      <c r="K21" s="652"/>
    </row>
    <row r="22" spans="1:11">
      <c r="A22" t="s">
        <v>489</v>
      </c>
      <c r="B22" t="s">
        <v>519</v>
      </c>
      <c r="C22" t="s">
        <v>492</v>
      </c>
      <c r="E22" t="s">
        <v>122</v>
      </c>
      <c r="F22" t="s">
        <v>123</v>
      </c>
      <c r="G22" t="s">
        <v>123</v>
      </c>
      <c r="H22" t="s">
        <v>123</v>
      </c>
      <c r="I22" t="s">
        <v>123</v>
      </c>
      <c r="J22" t="s">
        <v>123</v>
      </c>
      <c r="K22" t="s">
        <v>123</v>
      </c>
    </row>
    <row r="23" spans="1:11">
      <c r="A23" s="2" t="s">
        <v>490</v>
      </c>
      <c r="B23" s="2" t="s">
        <v>519</v>
      </c>
      <c r="C23" t="s">
        <v>491</v>
      </c>
      <c r="E23" t="s">
        <v>122</v>
      </c>
      <c r="F23" t="s">
        <v>123</v>
      </c>
      <c r="G23" t="s">
        <v>123</v>
      </c>
      <c r="H23" t="s">
        <v>123</v>
      </c>
      <c r="I23" t="s">
        <v>123</v>
      </c>
      <c r="J23" t="s">
        <v>123</v>
      </c>
      <c r="K23" t="s">
        <v>123</v>
      </c>
    </row>
    <row r="24" spans="1:11">
      <c r="A24" s="2" t="s">
        <v>509</v>
      </c>
      <c r="B24" s="2"/>
      <c r="C24" t="s">
        <v>508</v>
      </c>
      <c r="E24" t="s">
        <v>122</v>
      </c>
      <c r="F24" t="s">
        <v>123</v>
      </c>
      <c r="G24" t="s">
        <v>123</v>
      </c>
      <c r="H24" t="s">
        <v>123</v>
      </c>
      <c r="I24" t="s">
        <v>123</v>
      </c>
      <c r="J24" t="s">
        <v>123</v>
      </c>
      <c r="K24" t="s">
        <v>123</v>
      </c>
    </row>
    <row r="25" spans="1:11">
      <c r="A25" t="s">
        <v>493</v>
      </c>
      <c r="B25" t="s">
        <v>519</v>
      </c>
      <c r="C25" t="s">
        <v>496</v>
      </c>
      <c r="E25" t="s">
        <v>122</v>
      </c>
      <c r="G25" t="s">
        <v>123</v>
      </c>
      <c r="H25" t="s">
        <v>123</v>
      </c>
      <c r="I25" t="s">
        <v>123</v>
      </c>
      <c r="K25" t="s">
        <v>123</v>
      </c>
    </row>
    <row r="26" spans="1:11">
      <c r="A26" t="s">
        <v>494</v>
      </c>
      <c r="C26" t="s">
        <v>495</v>
      </c>
      <c r="E26" t="s">
        <v>122</v>
      </c>
      <c r="G26" t="s">
        <v>123</v>
      </c>
      <c r="H26" t="s">
        <v>123</v>
      </c>
      <c r="I26" t="s">
        <v>123</v>
      </c>
      <c r="K26" t="s">
        <v>123</v>
      </c>
    </row>
    <row r="27" spans="1:11">
      <c r="A27" t="s">
        <v>504</v>
      </c>
      <c r="C27" t="s">
        <v>505</v>
      </c>
      <c r="E27" t="s">
        <v>122</v>
      </c>
      <c r="H27" t="s">
        <v>123</v>
      </c>
      <c r="I27" t="s">
        <v>123</v>
      </c>
    </row>
    <row r="28" spans="1:11">
      <c r="A28" t="s">
        <v>506</v>
      </c>
      <c r="C28" t="s">
        <v>507</v>
      </c>
      <c r="E28" t="s">
        <v>122</v>
      </c>
      <c r="F28" t="s">
        <v>123</v>
      </c>
      <c r="J28" t="s">
        <v>123</v>
      </c>
    </row>
    <row r="30" spans="1:11">
      <c r="A30" t="s">
        <v>497</v>
      </c>
      <c r="C30" t="s">
        <v>500</v>
      </c>
      <c r="E30" t="s">
        <v>498</v>
      </c>
    </row>
    <row r="31" spans="1:11">
      <c r="A31" t="s">
        <v>499</v>
      </c>
      <c r="C31" t="s">
        <v>501</v>
      </c>
      <c r="E31" t="s">
        <v>498</v>
      </c>
    </row>
    <row r="32" spans="1:11">
      <c r="A32" t="s">
        <v>515</v>
      </c>
      <c r="B32" t="s">
        <v>519</v>
      </c>
      <c r="C32" t="s">
        <v>516</v>
      </c>
      <c r="E32" t="s">
        <v>122</v>
      </c>
      <c r="F32" t="s">
        <v>123</v>
      </c>
      <c r="G32" t="s">
        <v>123</v>
      </c>
      <c r="H32" t="s">
        <v>123</v>
      </c>
      <c r="I32" t="s">
        <v>123</v>
      </c>
      <c r="J32" t="s">
        <v>123</v>
      </c>
    </row>
    <row r="33" spans="1:11" s="2" customFormat="1">
      <c r="A33" s="2" t="s">
        <v>517</v>
      </c>
      <c r="C33"/>
      <c r="D33"/>
      <c r="E33" t="s">
        <v>518</v>
      </c>
      <c r="F33" t="s">
        <v>123</v>
      </c>
      <c r="G33" t="s">
        <v>123</v>
      </c>
      <c r="H33" t="s">
        <v>123</v>
      </c>
      <c r="I33" t="s">
        <v>123</v>
      </c>
      <c r="J33" t="s">
        <v>123</v>
      </c>
      <c r="K33" t="s">
        <v>123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I7" sqref="I7"/>
    </sheetView>
  </sheetViews>
  <sheetFormatPr baseColWidth="10" defaultColWidth="9.140625" defaultRowHeight="15"/>
  <sheetData>
    <row r="1" spans="1:1">
      <c r="A1" t="s">
        <v>239</v>
      </c>
    </row>
    <row r="2" spans="1:1">
      <c r="A2" t="s">
        <v>240</v>
      </c>
    </row>
    <row r="3" spans="1:1">
      <c r="A3" t="s">
        <v>242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A11"/>
  <sheetViews>
    <sheetView workbookViewId="0">
      <selection activeCell="A20" sqref="A20"/>
    </sheetView>
  </sheetViews>
  <sheetFormatPr baseColWidth="10" defaultColWidth="9.140625" defaultRowHeight="15"/>
  <cols>
    <col min="1" max="1" width="79.7109375" customWidth="1"/>
  </cols>
  <sheetData>
    <row r="1" spans="1:1">
      <c r="A1" t="s">
        <v>234</v>
      </c>
    </row>
    <row r="2" spans="1:1">
      <c r="A2" t="s">
        <v>227</v>
      </c>
    </row>
    <row r="3" spans="1:1">
      <c r="A3" t="s">
        <v>228</v>
      </c>
    </row>
    <row r="4" spans="1:1">
      <c r="A4" t="s">
        <v>229</v>
      </c>
    </row>
    <row r="5" spans="1:1">
      <c r="A5" t="s">
        <v>230</v>
      </c>
    </row>
    <row r="6" spans="1:1">
      <c r="A6" t="s">
        <v>231</v>
      </c>
    </row>
    <row r="7" spans="1:1">
      <c r="A7" t="s">
        <v>232</v>
      </c>
    </row>
    <row r="8" spans="1:1">
      <c r="A8" t="s">
        <v>233</v>
      </c>
    </row>
    <row r="9" spans="1:1">
      <c r="A9" t="s">
        <v>384</v>
      </c>
    </row>
    <row r="10" spans="1:1">
      <c r="A10" t="s">
        <v>385</v>
      </c>
    </row>
    <row r="11" spans="1:1">
      <c r="A11" t="s">
        <v>415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46"/>
  <sheetViews>
    <sheetView zoomScale="90" zoomScaleNormal="90" workbookViewId="0">
      <selection activeCell="Y18" sqref="Y18"/>
    </sheetView>
  </sheetViews>
  <sheetFormatPr baseColWidth="10" defaultColWidth="8.85546875" defaultRowHeight="15"/>
  <cols>
    <col min="1" max="1" width="4.5703125" style="16" customWidth="1"/>
    <col min="2" max="2" width="4" style="16" customWidth="1"/>
    <col min="3" max="3" width="11.42578125" style="16" bestFit="1" customWidth="1"/>
    <col min="4" max="4" width="8" style="16" customWidth="1"/>
    <col min="5" max="5" width="10.7109375" style="16" customWidth="1"/>
    <col min="6" max="6" width="8.7109375" style="16" customWidth="1"/>
    <col min="7" max="7" width="11.5703125" style="16" customWidth="1"/>
    <col min="8" max="8" width="12.7109375" style="16" customWidth="1"/>
    <col min="9" max="9" width="7.7109375" style="16" customWidth="1"/>
    <col min="10" max="10" width="2.140625" style="16" customWidth="1"/>
    <col min="11" max="11" width="14.5703125" style="16" customWidth="1"/>
    <col min="12" max="12" width="2.140625" style="16" customWidth="1"/>
    <col min="13" max="13" width="14.5703125" style="16" customWidth="1"/>
    <col min="14" max="14" width="2.28515625" style="16" customWidth="1"/>
    <col min="15" max="15" width="14.5703125" style="16" customWidth="1"/>
    <col min="16" max="16" width="2.5703125" style="16" customWidth="1"/>
    <col min="17" max="17" width="10.28515625" style="16" customWidth="1"/>
    <col min="18" max="18" width="2.28515625" style="16" customWidth="1"/>
    <col min="19" max="19" width="4.28515625" style="16" customWidth="1"/>
    <col min="20" max="20" width="5.140625" style="16" customWidth="1"/>
    <col min="21" max="22" width="5.42578125" style="16" customWidth="1"/>
    <col min="23" max="23" width="3.85546875" style="16" customWidth="1"/>
    <col min="24" max="24" width="1.42578125" style="16" customWidth="1"/>
    <col min="25" max="16384" width="8.85546875" style="16"/>
  </cols>
  <sheetData>
    <row r="1" spans="2:24" ht="6" customHeight="1" thickBot="1"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</row>
    <row r="2" spans="2:24" ht="19.5" thickTop="1">
      <c r="B2" s="363"/>
      <c r="C2" s="363"/>
      <c r="D2" s="363"/>
      <c r="K2" s="632"/>
    </row>
    <row r="3" spans="2:24" ht="15.6" customHeight="1">
      <c r="B3" s="363"/>
      <c r="C3" s="363"/>
      <c r="D3" s="363"/>
      <c r="E3" s="695" t="s">
        <v>469</v>
      </c>
      <c r="F3" s="695"/>
      <c r="G3" s="695"/>
      <c r="H3" s="695"/>
      <c r="I3" s="695"/>
      <c r="J3" s="436"/>
      <c r="K3" s="696" t="s">
        <v>269</v>
      </c>
      <c r="L3" s="437"/>
      <c r="M3" s="697" t="s">
        <v>270</v>
      </c>
      <c r="O3" s="698" t="s">
        <v>187</v>
      </c>
      <c r="P3" s="529"/>
      <c r="Q3" s="592" t="s">
        <v>212</v>
      </c>
      <c r="S3" s="699" t="s">
        <v>419</v>
      </c>
      <c r="T3" s="699"/>
      <c r="U3" s="699"/>
      <c r="V3" s="699"/>
      <c r="W3" s="699"/>
    </row>
    <row r="4" spans="2:24" ht="55.15" customHeight="1">
      <c r="B4" s="702" t="s">
        <v>15</v>
      </c>
      <c r="C4" s="702"/>
      <c r="D4" s="702"/>
      <c r="E4" s="704" t="s">
        <v>470</v>
      </c>
      <c r="F4" s="704"/>
      <c r="G4" s="704" t="s">
        <v>466</v>
      </c>
      <c r="H4" s="704"/>
      <c r="I4" s="704"/>
      <c r="K4" s="696"/>
      <c r="M4" s="697"/>
      <c r="O4" s="698"/>
      <c r="Q4" s="604" t="s">
        <v>467</v>
      </c>
      <c r="S4" s="700" t="s">
        <v>211</v>
      </c>
      <c r="T4" s="700" t="s">
        <v>445</v>
      </c>
      <c r="U4" s="700" t="s">
        <v>471</v>
      </c>
      <c r="V4" s="700" t="s">
        <v>446</v>
      </c>
      <c r="W4" s="700" t="s">
        <v>396</v>
      </c>
    </row>
    <row r="5" spans="2:24" s="555" customFormat="1" ht="16.899999999999999" customHeight="1" thickBot="1">
      <c r="B5" s="703"/>
      <c r="C5" s="703"/>
      <c r="D5" s="703"/>
      <c r="E5" s="705"/>
      <c r="F5" s="705"/>
      <c r="G5" s="705"/>
      <c r="H5" s="705"/>
      <c r="I5" s="705"/>
      <c r="J5" s="434"/>
      <c r="K5" s="434"/>
      <c r="L5" s="434"/>
      <c r="M5" s="434"/>
      <c r="N5" s="434"/>
      <c r="O5" s="434"/>
      <c r="P5" s="434"/>
      <c r="Q5" s="605"/>
      <c r="R5" s="428"/>
      <c r="S5" s="701"/>
      <c r="T5" s="701"/>
      <c r="U5" s="701" t="s">
        <v>320</v>
      </c>
      <c r="V5" s="701" t="s">
        <v>320</v>
      </c>
      <c r="W5" s="701"/>
      <c r="X5" s="428"/>
    </row>
    <row r="6" spans="2:24" s="555" customFormat="1" ht="23.45" customHeight="1">
      <c r="B6" s="718" t="s">
        <v>416</v>
      </c>
      <c r="C6" s="719" t="s">
        <v>425</v>
      </c>
      <c r="D6" s="719"/>
      <c r="E6" s="606">
        <f>869.2</f>
        <v>869.2</v>
      </c>
      <c r="F6" s="607" t="s">
        <v>61</v>
      </c>
      <c r="G6" s="608">
        <v>690</v>
      </c>
      <c r="H6" s="607" t="str">
        <f>"--  827,1"</f>
        <v>--  827,1</v>
      </c>
      <c r="I6" s="609" t="s">
        <v>444</v>
      </c>
      <c r="J6" s="435"/>
      <c r="K6" s="618" t="s">
        <v>424</v>
      </c>
      <c r="L6" s="619"/>
      <c r="M6" s="620" t="s">
        <v>423</v>
      </c>
      <c r="N6" s="435"/>
      <c r="O6" s="589"/>
      <c r="P6" s="530"/>
      <c r="Q6" s="713"/>
      <c r="R6" s="427"/>
      <c r="S6" s="715" t="s">
        <v>420</v>
      </c>
      <c r="T6" s="708">
        <v>216</v>
      </c>
      <c r="U6" s="708"/>
      <c r="V6" s="548"/>
      <c r="W6" s="708"/>
      <c r="X6" s="427"/>
    </row>
    <row r="7" spans="2:24" s="575" customFormat="1" ht="23.45" customHeight="1">
      <c r="B7" s="709"/>
      <c r="C7" s="711"/>
      <c r="D7" s="711"/>
      <c r="E7" s="610">
        <f>43443</f>
        <v>43443</v>
      </c>
      <c r="F7" s="611" t="s">
        <v>23</v>
      </c>
      <c r="G7" s="612">
        <v>40567</v>
      </c>
      <c r="H7" s="611" t="str">
        <f>"--  41.364"</f>
        <v>--  41.364</v>
      </c>
      <c r="I7" s="611" t="s">
        <v>23</v>
      </c>
      <c r="J7" s="435"/>
      <c r="K7" s="621"/>
      <c r="L7" s="619"/>
      <c r="M7" s="622"/>
      <c r="N7" s="435"/>
      <c r="O7" s="590"/>
      <c r="P7" s="530"/>
      <c r="Q7" s="713"/>
      <c r="R7" s="427"/>
      <c r="S7" s="716"/>
      <c r="T7" s="706"/>
      <c r="U7" s="706"/>
      <c r="V7" s="572"/>
      <c r="W7" s="706"/>
      <c r="X7" s="427"/>
    </row>
    <row r="8" spans="2:24" s="555" customFormat="1" ht="23.45" customHeight="1" thickBot="1">
      <c r="B8" s="710"/>
      <c r="C8" s="712"/>
      <c r="D8" s="712"/>
      <c r="E8" s="613">
        <v>2.7</v>
      </c>
      <c r="F8" s="614" t="s">
        <v>468</v>
      </c>
      <c r="G8" s="615">
        <v>2.1</v>
      </c>
      <c r="H8" s="614" t="str">
        <f>"--  2,5"</f>
        <v>--  2,5</v>
      </c>
      <c r="I8" s="614" t="s">
        <v>468</v>
      </c>
      <c r="J8" s="547"/>
      <c r="K8" s="591" t="s">
        <v>448</v>
      </c>
      <c r="L8" s="623"/>
      <c r="M8" s="624" t="s">
        <v>448</v>
      </c>
      <c r="N8" s="547"/>
      <c r="O8" s="593" t="s">
        <v>448</v>
      </c>
      <c r="P8" s="531"/>
      <c r="Q8" s="714"/>
      <c r="R8" s="547"/>
      <c r="S8" s="717"/>
      <c r="T8" s="707"/>
      <c r="U8" s="707"/>
      <c r="V8" s="549"/>
      <c r="W8" s="707"/>
      <c r="X8" s="547"/>
    </row>
    <row r="9" spans="2:24" s="22" customFormat="1" ht="24" customHeight="1" thickTop="1">
      <c r="B9" s="709" t="s">
        <v>417</v>
      </c>
      <c r="C9" s="711" t="s">
        <v>426</v>
      </c>
      <c r="D9" s="711"/>
      <c r="E9" s="606">
        <f>24.3</f>
        <v>24.3</v>
      </c>
      <c r="F9" s="607" t="s">
        <v>61</v>
      </c>
      <c r="G9" s="608">
        <v>21.5</v>
      </c>
      <c r="H9" s="607" t="str">
        <f>"--  23,2"</f>
        <v>--  23,2</v>
      </c>
      <c r="I9" s="609" t="s">
        <v>61</v>
      </c>
      <c r="J9" s="435"/>
      <c r="K9" s="618" t="s">
        <v>253</v>
      </c>
      <c r="L9" s="619"/>
      <c r="M9" s="620" t="s">
        <v>321</v>
      </c>
      <c r="N9" s="435"/>
      <c r="O9" s="594"/>
      <c r="P9" s="435"/>
      <c r="Q9" s="713"/>
      <c r="R9" s="427"/>
      <c r="S9" s="715" t="s">
        <v>421</v>
      </c>
      <c r="T9" s="708"/>
      <c r="U9" s="706">
        <v>20</v>
      </c>
      <c r="V9" s="553"/>
      <c r="W9" s="706">
        <v>6</v>
      </c>
      <c r="X9" s="427"/>
    </row>
    <row r="10" spans="2:24" s="22" customFormat="1" ht="24" customHeight="1">
      <c r="B10" s="709"/>
      <c r="C10" s="711"/>
      <c r="D10" s="711"/>
      <c r="E10" s="610">
        <f>43443</f>
        <v>43443</v>
      </c>
      <c r="F10" s="611" t="s">
        <v>23</v>
      </c>
      <c r="G10" s="612">
        <v>40567</v>
      </c>
      <c r="H10" s="611" t="str">
        <f>"--  41.364"</f>
        <v>--  41.364</v>
      </c>
      <c r="I10" s="611" t="s">
        <v>23</v>
      </c>
      <c r="J10" s="435"/>
      <c r="K10" s="621"/>
      <c r="L10" s="619"/>
      <c r="M10" s="622"/>
      <c r="N10" s="435"/>
      <c r="O10" s="594"/>
      <c r="P10" s="435"/>
      <c r="Q10" s="713"/>
      <c r="R10" s="427"/>
      <c r="S10" s="716"/>
      <c r="T10" s="706"/>
      <c r="U10" s="706"/>
      <c r="V10" s="574"/>
      <c r="W10" s="706"/>
      <c r="X10" s="427"/>
    </row>
    <row r="11" spans="2:24" s="22" customFormat="1" ht="24" customHeight="1" thickBot="1">
      <c r="B11" s="710"/>
      <c r="C11" s="712"/>
      <c r="D11" s="712"/>
      <c r="E11" s="613">
        <v>2.7</v>
      </c>
      <c r="F11" s="614" t="s">
        <v>468</v>
      </c>
      <c r="G11" s="615">
        <v>2.1</v>
      </c>
      <c r="H11" s="614" t="str">
        <f>"--  2,5"</f>
        <v>--  2,5</v>
      </c>
      <c r="I11" s="614" t="s">
        <v>468</v>
      </c>
      <c r="J11" s="547"/>
      <c r="K11" s="591" t="s">
        <v>448</v>
      </c>
      <c r="L11" s="623"/>
      <c r="M11" s="624" t="s">
        <v>448</v>
      </c>
      <c r="N11" s="547"/>
      <c r="O11" s="593" t="s">
        <v>448</v>
      </c>
      <c r="P11" s="547"/>
      <c r="Q11" s="714"/>
      <c r="R11" s="547"/>
      <c r="S11" s="717"/>
      <c r="T11" s="707"/>
      <c r="U11" s="707"/>
      <c r="V11" s="552"/>
      <c r="W11" s="707"/>
      <c r="X11" s="547"/>
    </row>
    <row r="12" spans="2:24" ht="24" customHeight="1" thickTop="1">
      <c r="B12" s="729" t="s">
        <v>418</v>
      </c>
      <c r="C12" s="731" t="s">
        <v>422</v>
      </c>
      <c r="D12" s="731"/>
      <c r="E12" s="606">
        <f>24.3</f>
        <v>24.3</v>
      </c>
      <c r="F12" s="607" t="s">
        <v>61</v>
      </c>
      <c r="G12" s="608">
        <v>21.5</v>
      </c>
      <c r="H12" s="607" t="str">
        <f>"--  23,2"</f>
        <v>--  23,2</v>
      </c>
      <c r="I12" s="609" t="s">
        <v>61</v>
      </c>
      <c r="J12" s="438"/>
      <c r="K12" s="625" t="s">
        <v>317</v>
      </c>
      <c r="L12" s="626"/>
      <c r="M12" s="627"/>
      <c r="N12" s="438"/>
      <c r="O12" s="595"/>
      <c r="P12" s="438"/>
      <c r="Q12" s="733"/>
      <c r="R12" s="439"/>
      <c r="S12" s="736" t="s">
        <v>421</v>
      </c>
      <c r="T12" s="725"/>
      <c r="U12" s="738"/>
      <c r="V12" s="560"/>
      <c r="W12" s="725"/>
      <c r="X12" s="439"/>
    </row>
    <row r="13" spans="2:24" ht="24" customHeight="1">
      <c r="B13" s="709"/>
      <c r="C13" s="711"/>
      <c r="D13" s="711"/>
      <c r="E13" s="610">
        <f>43443</f>
        <v>43443</v>
      </c>
      <c r="F13" s="611" t="s">
        <v>23</v>
      </c>
      <c r="G13" s="612">
        <v>40567</v>
      </c>
      <c r="H13" s="611" t="str">
        <f>"--  41.364"</f>
        <v>--  41.364</v>
      </c>
      <c r="I13" s="611" t="s">
        <v>23</v>
      </c>
      <c r="J13" s="435"/>
      <c r="K13" s="621"/>
      <c r="L13" s="619"/>
      <c r="M13" s="628"/>
      <c r="N13" s="435"/>
      <c r="O13" s="594"/>
      <c r="P13" s="435"/>
      <c r="Q13" s="734"/>
      <c r="R13" s="427"/>
      <c r="S13" s="716"/>
      <c r="T13" s="706"/>
      <c r="U13" s="739"/>
      <c r="V13" s="574"/>
      <c r="W13" s="706"/>
      <c r="X13" s="427"/>
    </row>
    <row r="14" spans="2:24" ht="24" customHeight="1" thickBot="1">
      <c r="B14" s="730"/>
      <c r="C14" s="732"/>
      <c r="D14" s="732"/>
      <c r="E14" s="613">
        <v>2.7</v>
      </c>
      <c r="F14" s="614" t="s">
        <v>468</v>
      </c>
      <c r="G14" s="615">
        <v>2.1</v>
      </c>
      <c r="H14" s="614" t="str">
        <f>"--  2,5"</f>
        <v>--  2,5</v>
      </c>
      <c r="I14" s="614" t="s">
        <v>468</v>
      </c>
      <c r="J14" s="563"/>
      <c r="K14" s="629" t="s">
        <v>309</v>
      </c>
      <c r="L14" s="630"/>
      <c r="M14" s="631" t="s">
        <v>448</v>
      </c>
      <c r="N14" s="563"/>
      <c r="O14" s="596" t="s">
        <v>448</v>
      </c>
      <c r="P14" s="563"/>
      <c r="Q14" s="735"/>
      <c r="R14" s="563"/>
      <c r="S14" s="737"/>
      <c r="T14" s="726"/>
      <c r="U14" s="740"/>
      <c r="V14" s="564"/>
      <c r="W14" s="726"/>
      <c r="X14" s="563"/>
    </row>
    <row r="15" spans="2:24" s="561" customFormat="1" ht="22.15" customHeight="1">
      <c r="B15" s="633"/>
      <c r="C15" s="720" t="s">
        <v>472</v>
      </c>
      <c r="D15" s="720"/>
      <c r="E15" s="601">
        <f>E9+E6</f>
        <v>893.5</v>
      </c>
      <c r="F15" s="597" t="s">
        <v>444</v>
      </c>
      <c r="G15" s="602">
        <v>711.5</v>
      </c>
      <c r="H15" s="603" t="str">
        <f>"--  850,3"</f>
        <v>--  850,3</v>
      </c>
      <c r="I15" s="597" t="s">
        <v>61</v>
      </c>
      <c r="J15" s="556"/>
      <c r="K15" s="556"/>
      <c r="L15" s="556"/>
      <c r="M15" s="556"/>
      <c r="N15" s="556"/>
      <c r="O15" s="556"/>
      <c r="P15" s="556"/>
      <c r="Q15" s="557"/>
      <c r="R15" s="75"/>
      <c r="S15" s="558"/>
      <c r="T15" s="558"/>
      <c r="U15" s="558"/>
      <c r="V15" s="722"/>
      <c r="W15" s="722"/>
      <c r="X15" s="722"/>
    </row>
    <row r="16" spans="2:24" s="575" customFormat="1" ht="22.15" customHeight="1">
      <c r="B16" s="633"/>
      <c r="C16" s="721"/>
      <c r="D16" s="721"/>
      <c r="E16" s="573">
        <f>43443</f>
        <v>43443</v>
      </c>
      <c r="F16" s="616" t="s">
        <v>23</v>
      </c>
      <c r="G16" s="617">
        <v>40567</v>
      </c>
      <c r="H16" s="616" t="str">
        <f>"--  41.364"</f>
        <v>--  41.364</v>
      </c>
      <c r="I16" s="616" t="s">
        <v>23</v>
      </c>
      <c r="J16" s="556"/>
      <c r="K16" s="556"/>
      <c r="L16" s="556"/>
      <c r="M16" s="556"/>
      <c r="N16" s="556"/>
      <c r="O16" s="556"/>
      <c r="P16" s="556"/>
      <c r="Q16" s="557"/>
      <c r="R16" s="75"/>
      <c r="S16" s="571"/>
      <c r="T16" s="571"/>
      <c r="U16" s="571"/>
      <c r="V16" s="571"/>
      <c r="W16" s="571"/>
      <c r="X16" s="571"/>
    </row>
    <row r="17" spans="2:24" s="561" customFormat="1" ht="22.15" customHeight="1" thickBot="1">
      <c r="B17" s="633"/>
      <c r="C17" s="721"/>
      <c r="D17" s="721"/>
      <c r="E17" s="598">
        <v>2.7</v>
      </c>
      <c r="F17" s="599" t="s">
        <v>465</v>
      </c>
      <c r="G17" s="600">
        <v>2.1</v>
      </c>
      <c r="H17" s="599" t="str">
        <f>"--  2,5"</f>
        <v>--  2,5</v>
      </c>
      <c r="I17" s="599" t="s">
        <v>465</v>
      </c>
      <c r="J17" s="556"/>
      <c r="K17" s="556"/>
      <c r="L17" s="556"/>
      <c r="M17" s="556"/>
      <c r="N17" s="556"/>
      <c r="O17" s="556"/>
      <c r="P17" s="556"/>
      <c r="Q17" s="557"/>
      <c r="R17" s="75"/>
      <c r="S17" s="558"/>
      <c r="T17" s="558"/>
      <c r="U17" s="558"/>
      <c r="V17" s="558"/>
      <c r="W17" s="558"/>
      <c r="X17" s="75"/>
    </row>
    <row r="18" spans="2:24" ht="25.15" customHeight="1" thickTop="1">
      <c r="C18" s="727"/>
      <c r="D18" s="727"/>
      <c r="E18" s="728"/>
      <c r="F18" s="559"/>
      <c r="G18" s="440"/>
      <c r="H18" s="528"/>
      <c r="I18" s="52"/>
      <c r="J18" s="51"/>
      <c r="K18" s="51"/>
      <c r="L18" s="51"/>
      <c r="M18" s="51"/>
      <c r="N18" s="51"/>
      <c r="O18" s="51"/>
      <c r="P18" s="51"/>
      <c r="Q18" s="51"/>
      <c r="R18" s="51"/>
      <c r="S18" s="700"/>
      <c r="T18" s="700"/>
      <c r="U18" s="700"/>
      <c r="V18" s="700"/>
      <c r="W18" s="51"/>
      <c r="X18" s="51"/>
    </row>
    <row r="19" spans="2:24" ht="10.15" customHeight="1">
      <c r="C19" s="559"/>
      <c r="D19" s="559"/>
      <c r="E19" s="559"/>
      <c r="F19" s="559"/>
      <c r="G19" s="559"/>
      <c r="H19" s="50"/>
      <c r="I19" s="50"/>
      <c r="J19" s="54"/>
      <c r="K19" s="54"/>
      <c r="L19" s="54"/>
      <c r="M19" s="54"/>
      <c r="N19" s="54"/>
      <c r="O19" s="54"/>
      <c r="P19" s="54"/>
      <c r="Q19" s="54"/>
      <c r="R19" s="54"/>
      <c r="S19" s="700"/>
      <c r="T19" s="700"/>
      <c r="U19" s="700"/>
      <c r="V19" s="700"/>
      <c r="W19" s="54"/>
      <c r="X19" s="54"/>
    </row>
    <row r="20" spans="2:24" ht="13.15" customHeight="1">
      <c r="C20" s="551"/>
      <c r="D20" s="551"/>
      <c r="E20" s="551"/>
      <c r="F20" s="532"/>
      <c r="G20" s="551"/>
      <c r="H20" s="551"/>
      <c r="I20" s="532"/>
      <c r="J20" s="51"/>
      <c r="K20" s="534"/>
      <c r="L20" s="533"/>
      <c r="M20" s="533"/>
      <c r="N20" s="51"/>
      <c r="O20" s="534"/>
      <c r="P20" s="533"/>
      <c r="Q20" s="533"/>
      <c r="R20" s="54"/>
      <c r="S20" s="54"/>
      <c r="T20" s="54"/>
      <c r="U20" s="54"/>
      <c r="V20" s="54"/>
      <c r="W20" s="54"/>
      <c r="X20" s="54"/>
    </row>
    <row r="21" spans="2:24" ht="37.9" customHeight="1">
      <c r="B21" s="723"/>
      <c r="C21" s="723"/>
      <c r="D21" s="723"/>
      <c r="E21" s="426"/>
      <c r="F21" s="426"/>
      <c r="G21" s="724"/>
      <c r="H21" s="724"/>
      <c r="I21" s="550"/>
    </row>
    <row r="22" spans="2:24" ht="22.15" customHeight="1">
      <c r="C22" s="554"/>
      <c r="D22" s="554"/>
      <c r="E22" s="554"/>
      <c r="F22" s="424"/>
      <c r="G22" s="566"/>
      <c r="H22" s="424"/>
      <c r="I22" s="567"/>
      <c r="J22" s="424"/>
      <c r="K22" s="424"/>
      <c r="L22" s="566"/>
      <c r="M22" s="42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</row>
    <row r="23" spans="2:24" ht="22.15" customHeight="1">
      <c r="B23" s="362"/>
      <c r="C23" s="565">
        <v>0.61</v>
      </c>
      <c r="D23" s="554"/>
      <c r="E23" s="565">
        <v>2.1</v>
      </c>
      <c r="F23" s="424"/>
      <c r="G23" s="569">
        <f>2.2</f>
        <v>2.2000000000000002</v>
      </c>
      <c r="H23" s="570"/>
      <c r="I23" s="569">
        <f>24.3</f>
        <v>24.3</v>
      </c>
      <c r="J23" s="570"/>
      <c r="K23" s="570">
        <f>869.2</f>
        <v>869.2</v>
      </c>
      <c r="L23" s="566"/>
      <c r="M23" s="42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</row>
    <row r="24" spans="2:24" ht="22.15" customHeight="1">
      <c r="C24" s="554"/>
      <c r="D24" s="554"/>
      <c r="E24" s="562"/>
      <c r="F24" s="554"/>
      <c r="G24" s="562"/>
      <c r="H24" s="53"/>
      <c r="I24" s="562"/>
      <c r="J24" s="54"/>
      <c r="K24" s="562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</row>
    <row r="25" spans="2:24" ht="22.15" customHeight="1">
      <c r="C25" s="565">
        <f>IF(C23&gt;10000,ROUNDUP(C23,-4),IF(C23&gt;1000,ROUNDUP(C23,-3),IF(C23&gt;100,ROUNDUP(C23,-2),IF(C23&gt;10,ROUNDUP(C23,-1),IF(C23&gt;1,ROUNDUP(C23,0),IF(C23&gt;0,ROUNDUP(C23,1),0))))))</f>
        <v>0.7</v>
      </c>
      <c r="D25" s="554"/>
      <c r="E25" s="424">
        <f>IF(E23&gt;10000,ROUNDUP(E23,-4),IF(E23&gt;1000,ROUNDUP(E23,-3),IF(E23&gt;100,ROUNDUP(E23,-2),IF(E23&gt;10,ROUNDUP(E23,-1),IF(E23&gt;1,ROUNDUP(E23,0),IF(E23&gt;0,ROUNDUP(E23,1),0))))))</f>
        <v>3</v>
      </c>
      <c r="F25" s="424"/>
      <c r="G25" s="424">
        <f>IF(G23&gt;10000,ROUNDUP(G23,-4),IF(G23&gt;1000,ROUNDUP(G23,-3),IF(G23&gt;100,ROUNDUP(G23,-2),IF(G23&gt;10,ROUNDUP(G23,-1),IF(G23&gt;1,ROUNDUP(G23,0),IF(G23&gt;0,ROUNDUP(G23,1),0))))))</f>
        <v>3</v>
      </c>
      <c r="H25" s="566"/>
      <c r="I25" s="424">
        <f>IF(I23&gt;10000,ROUNDUP(I23,-4),IF(I23&gt;1000,ROUNDUP(I23,-3),IF(I23&gt;100,ROUNDUP(I23,-2),IF(I23&gt;10,ROUNDUP(I23,-1),IF(I23&gt;1,ROUNDUP(I23,0),IF(I23&gt;0,ROUNDUP(I23,1),0))))))</f>
        <v>30</v>
      </c>
      <c r="J25" s="567"/>
      <c r="K25" s="424">
        <f>IF(K23&gt;10000,ROUNDUP(K23,-4),IF(K23&gt;1000,ROUNDUP(K23,-3),IF(K23&gt;100,ROUNDUP(K23,-2),IF(K23&gt;10,ROUNDUP(K23,-1),IF(K23&gt;1,ROUNDUP(K23,0),IF(K23&gt;0,ROUNDUP(K23,1),0))))))</f>
        <v>900</v>
      </c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</row>
    <row r="27" spans="2:24" ht="21">
      <c r="C27" s="565">
        <f>C25/2</f>
        <v>0.35</v>
      </c>
      <c r="E27" s="565">
        <f>E25/2</f>
        <v>1.5</v>
      </c>
      <c r="G27" s="424">
        <f>G25/2</f>
        <v>1.5</v>
      </c>
      <c r="H27" s="568"/>
      <c r="I27" s="424">
        <f>I25/2</f>
        <v>15</v>
      </c>
      <c r="J27" s="568"/>
      <c r="K27" s="424">
        <f>K25/2</f>
        <v>450</v>
      </c>
    </row>
    <row r="31" spans="2:24">
      <c r="C31" s="16">
        <v>10446</v>
      </c>
      <c r="E31" s="16">
        <v>6497</v>
      </c>
      <c r="G31" s="16">
        <v>497</v>
      </c>
      <c r="I31" s="16">
        <v>186</v>
      </c>
      <c r="K31" s="16">
        <v>123</v>
      </c>
    </row>
    <row r="32" spans="2:24">
      <c r="C32" s="16">
        <v>1870</v>
      </c>
      <c r="E32" s="16">
        <v>489</v>
      </c>
      <c r="G32" s="16">
        <v>89</v>
      </c>
      <c r="I32" s="16">
        <v>38</v>
      </c>
      <c r="K32" s="16">
        <v>26</v>
      </c>
    </row>
    <row r="33" spans="1:11">
      <c r="C33" s="16">
        <v>427</v>
      </c>
      <c r="E33" s="16">
        <v>220</v>
      </c>
      <c r="G33" s="16">
        <v>20</v>
      </c>
      <c r="I33" s="16">
        <v>9</v>
      </c>
      <c r="K33" s="16">
        <v>6</v>
      </c>
    </row>
    <row r="35" spans="1:11">
      <c r="C35" s="16">
        <f>IF(C31&gt;1000000,ROUNDUP(C31,-4),IF(C31&gt;100000,ROUNDUP(C31,-3),IF(C31&gt;10000,ROUNDUP(C31,-3),IF(C31&gt;1000,ROUNDUP(C31,-2),IF(C31&gt;100,ROUNDUP(C31,-1),IF(C31&gt;10,ROUNDUP(C31,0),0))))))</f>
        <v>11000</v>
      </c>
      <c r="E35" s="16">
        <f>IF(E31&gt;1000000,ROUNDUP(E31,-4),IF(E31&gt;100000,ROUNDUP(E31,-3),IF(E31&gt;10000,ROUNDUP(E31,-3),IF(E31&gt;1000,ROUNDUP(E31,-2),IF(E31&gt;100,ROUNDUP(E31,-1),IF(E31&gt;10,ROUNDUP(E31,0),0))))))</f>
        <v>6500</v>
      </c>
      <c r="G35" s="16">
        <f>IF(G31&gt;1000000,ROUNDUP(G31,-4),IF(G31&gt;100000,ROUNDUP(G31,-3),IF(G31&gt;10000,ROUNDUP(G31,-3),IF(G31&gt;1000,ROUNDUP(G31,-2),IF(G31&gt;100,ROUNDUP(G31,-1),IF(G31&gt;10,ROUNDUP(G31,0),0))))))</f>
        <v>500</v>
      </c>
      <c r="I35" s="16">
        <f>IF(I31&gt;1000000,ROUNDUP(I31,-4),IF(I31&gt;100000,ROUNDUP(I31,-3),IF(I31&gt;10000,ROUNDUP(I31,-3),IF(I31&gt;1000,ROUNDUP(I31,-2),IF(I31&gt;100,ROUNDUP(I31,-1),IF(I31&gt;10,ROUNDUP(I31,0),0))))))</f>
        <v>190</v>
      </c>
      <c r="K35" s="16">
        <f>IF(K31&gt;1000000,ROUNDUP(K31,-4),IF(K31&gt;100000,ROUNDUP(K31,-3),IF(K31&gt;10000,ROUNDUP(K31,-3),IF(K31&gt;1000,ROUNDUP(K31,-2),IF(K31&gt;100,ROUNDUP(K31,-1),IF(K31&gt;10,ROUNDUP(K31,0),0))))))</f>
        <v>130</v>
      </c>
    </row>
    <row r="36" spans="1:11">
      <c r="C36" s="16">
        <f>IF(C32&gt;1000000,ROUNDUP(C32,-4),IF(C32&gt;100000,ROUNDUP(C32,-3),IF(C32&gt;10000,ROUNDUP(C32,-3),IF(C32&gt;1000,ROUNDUP(C32,-2),IF(C32&gt;100,ROUNDUP(C32,-1),IF(C32&gt;10,ROUNDUP(C32,0),0))))))</f>
        <v>1900</v>
      </c>
      <c r="E36" s="16">
        <f>IF(E32&gt;1000000,ROUNDUP(E32,-4),IF(E32&gt;100000,ROUNDUP(E32,-3),IF(E32&gt;10000,ROUNDUP(E32,-3),IF(E32&gt;1000,ROUNDUP(E32,-2),IF(E32&gt;100,ROUNDUP(E32,-1),IF(E32&gt;10,ROUNDUP(E32,0),0))))))</f>
        <v>490</v>
      </c>
      <c r="G36" s="16">
        <f>IF(G32&gt;1000000,ROUNDUP(G32,-4),IF(G32&gt;100000,ROUNDUP(G32,-3),IF(G32&gt;10000,ROUNDUP(G32,-3),IF(G32&gt;1000,ROUNDUP(G32,-2),IF(G32&gt;100,ROUNDUP(G32,-1),IF(G32&gt;10,ROUNDUP(G32,0),0))))))</f>
        <v>89</v>
      </c>
      <c r="I36" s="16">
        <f>IF(I32&gt;1000000,ROUNDUP(I32,-4),IF(I32&gt;100000,ROUNDUP(I32,-3),IF(I32&gt;10000,ROUNDUP(I32,-3),IF(I32&gt;1000,ROUNDUP(I32,-2),IF(I32&gt;100,ROUNDUP(I32,-1),IF(I32&gt;10,ROUNDUP(I32,0),0))))))</f>
        <v>38</v>
      </c>
      <c r="K36" s="16">
        <f>IF(K32&gt;1000000,ROUNDUP(K32,-4),IF(K32&gt;100000,ROUNDUP(K32,-3),IF(K32&gt;10000,ROUNDUP(K32,-3),IF(K32&gt;1000,ROUNDUP(K32,-2),IF(K32&gt;100,ROUNDUP(K32,-1),IF(K32&gt;10,ROUNDUP(K32,0),0))))))</f>
        <v>26</v>
      </c>
    </row>
    <row r="37" spans="1:11">
      <c r="C37" s="16">
        <f>IF(C33&gt;1000000,ROUNDUP(C33,-4),IF(C33&gt;100000,ROUNDUP(C33,-3),IF(C33&gt;10000,ROUNDUP(C33,-3),IF(C33&gt;1000,ROUNDUP(C33,-2),IF(C33&gt;100,ROUNDUP(C33,-1),IF(C33&gt;10,ROUNDUP(C33,0),C33))))))</f>
        <v>430</v>
      </c>
      <c r="E37" s="16">
        <f>IF(E33&gt;1000000,ROUNDUP(E33,-4),IF(E33&gt;100000,ROUNDUP(E33,-3),IF(E33&gt;10000,ROUNDUP(E33,-3),IF(E33&gt;1000,ROUNDUP(E33,-2),IF(E33&gt;100,ROUNDUP(E33,-1),IF(E33&gt;10,ROUNDUP(E33,0),E33))))))</f>
        <v>220</v>
      </c>
      <c r="G37" s="16">
        <f>IF(G33&gt;1000000,ROUNDUP(G33,-4),IF(G33&gt;100000,ROUNDUP(G33,-3),IF(G33&gt;10000,ROUNDUP(G33,-3),IF(G33&gt;1000,ROUNDUP(G33,-2),IF(G33&gt;100,ROUNDUP(G33,-1),IF(G33&gt;10,ROUNDUP(G33,0),G33))))))</f>
        <v>20</v>
      </c>
      <c r="I37" s="16">
        <f>IF(I33&gt;1000000,ROUNDUP(I33,-4),IF(I33&gt;100000,ROUNDUP(I33,-3),IF(I33&gt;10000,ROUNDUP(I33,-3),IF(I33&gt;1000,ROUNDUP(I33,-2),IF(I33&gt;100,ROUNDUP(I33,-1),IF(I33&gt;10,ROUNDUP(I33,0),I33))))))</f>
        <v>9</v>
      </c>
      <c r="K37" s="16">
        <f>IF(K33&gt;1000000,ROUNDUP(K33,-4),IF(K33&gt;100000,ROUNDUP(K33,-3),IF(K33&gt;10000,ROUNDUP(K33,-3),IF(K33&gt;1000,ROUNDUP(K33,-2),IF(K33&gt;100,ROUNDUP(K33,-1),IF(K33&gt;10,ROUNDUP(K33,0),K33))))))</f>
        <v>6</v>
      </c>
    </row>
    <row r="40" spans="1:11">
      <c r="C40" s="16">
        <v>10446</v>
      </c>
      <c r="E40" s="16">
        <v>6497</v>
      </c>
      <c r="G40" s="16">
        <v>497</v>
      </c>
      <c r="I40" s="16">
        <v>186</v>
      </c>
      <c r="K40" s="16">
        <v>123</v>
      </c>
    </row>
    <row r="41" spans="1:11">
      <c r="C41" s="16">
        <v>1870</v>
      </c>
      <c r="E41" s="16">
        <v>489</v>
      </c>
      <c r="G41" s="16">
        <v>89</v>
      </c>
      <c r="I41" s="16">
        <v>38</v>
      </c>
      <c r="K41" s="16">
        <v>26</v>
      </c>
    </row>
    <row r="42" spans="1:11">
      <c r="C42" s="16">
        <v>427</v>
      </c>
      <c r="E42" s="16">
        <v>220</v>
      </c>
      <c r="G42" s="16">
        <v>20</v>
      </c>
      <c r="I42" s="16">
        <v>9</v>
      </c>
      <c r="K42" s="16">
        <v>6</v>
      </c>
    </row>
    <row r="44" spans="1:11">
      <c r="A44" s="16" t="s">
        <v>450</v>
      </c>
      <c r="C44" s="16">
        <f>IF(C40&gt;1000000,ROUNDDOWN(C40,-2),IF(C40&gt;100000,ROUNDDOWN(C40,-2),IF(C40&gt;10000,ROUNDDOWN(C40,-2),IF(C40&gt;1000,ROUNDDOWN(C40,-2),IF(C40&gt;100,ROUNDDOWN(C40,-1),IF(C40&gt;10,ROUNDDOWN(C40,0),C40))))))</f>
        <v>10400</v>
      </c>
      <c r="E44" s="16">
        <f>IF(E40&gt;1000000,ROUNDDOWN(E40,-2),IF(E40&gt;100000,ROUNDDOWN(E40,-2),IF(E40&gt;10000,ROUNDDOWN(E40,-2),IF(E40&gt;1000,ROUNDDOWN(E40,-2),IF(E40&gt;100,ROUNDDOWN(E40,-1),IF(E40&gt;10,ROUNDDOWN(E40,0),E40))))))</f>
        <v>6400</v>
      </c>
      <c r="G44" s="16">
        <f>IF(G40&gt;1000000,ROUNDDOWN(G40,-2),IF(G40&gt;100000,ROUNDDOWN(G40,-2),IF(G40&gt;10000,ROUNDDOWN(G40,-2),IF(G40&gt;1000,ROUNDDOWN(G40,-2),IF(G40&gt;100,ROUNDDOWN(G40,-1),IF(G40&gt;10,ROUNDDOWN(G40,0),G40))))))</f>
        <v>490</v>
      </c>
      <c r="I44" s="16">
        <f>IF(I40&gt;1000000,ROUNDDOWN(I40,-2),IF(I40&gt;100000,ROUNDDOWN(I40,-2),IF(I40&gt;10000,ROUNDDOWN(I40,-2),IF(I40&gt;1000,ROUNDDOWN(I40,-2),IF(I40&gt;100,ROUNDDOWN(I40,-1),IF(I40&gt;10,ROUNDDOWN(I40,0),I40))))))</f>
        <v>180</v>
      </c>
      <c r="K44" s="16">
        <f>IF(K40&gt;1000000,ROUNDDOWN(K40,-2),IF(K40&gt;100000,ROUNDDOWN(K40,-2),IF(K40&gt;10000,ROUNDDOWN(K40,-2),IF(K40&gt;1000,ROUNDDOWN(K40,-2),IF(K40&gt;100,ROUNDDOWN(K40,-1),IF(K40&gt;10,ROUNDDOWN(K40,0),K40))))))</f>
        <v>120</v>
      </c>
    </row>
    <row r="45" spans="1:11">
      <c r="A45" s="16" t="s">
        <v>451</v>
      </c>
      <c r="C45" s="16">
        <f>IF(C41&gt;1000000,ROUNDDOWN(C41,-2),IF(C41&gt;100000,ROUNDDOWN(C41,-2),IF(C41&gt;10000,ROUNDDOWN(C41,-2),IF(C41&gt;1000,ROUNDDOWN(C41,-2),IF(C41&gt;100,ROUNDDOWN(C41,-1),IF(C41&gt;10,ROUNDDOWN(C41,0),C41))))))</f>
        <v>1800</v>
      </c>
      <c r="E45" s="16">
        <f>IF(E41&gt;1000000,ROUNDDOWN(E41,-2),IF(E41&gt;100000,ROUNDDOWN(E41,-2),IF(E41&gt;10000,ROUNDDOWN(E41,-2),IF(E41&gt;1000,ROUNDDOWN(E41,-2),IF(E41&gt;100,ROUNDDOWN(E41,-1),IF(E41&gt;10,ROUNDDOWN(E41,0),E41))))))</f>
        <v>480</v>
      </c>
      <c r="G45" s="16">
        <f>IF(G41&gt;1000000,ROUNDDOWN(G41,-2),IF(G41&gt;100000,ROUNDDOWN(G41,-2),IF(G41&gt;10000,ROUNDDOWN(G41,-2),IF(G41&gt;1000,ROUNDDOWN(G41,-2),IF(G41&gt;100,ROUNDDOWN(G41,-1),IF(G41&gt;10,ROUNDDOWN(G41,-1),G41))))))</f>
        <v>80</v>
      </c>
      <c r="I45" s="16">
        <f>IF(I41&gt;1000000,ROUNDDOWN(I41,-2),IF(I41&gt;100000,ROUNDDOWN(I41,-2),IF(I41&gt;10000,ROUNDDOWN(I41,-2),IF(I41&gt;1000,ROUNDDOWN(I41,-2),IF(I41&gt;100,ROUNDDOWN(I41,-1),IF(I41&gt;10,ROUNDDOWN(I41,0),I41))))))</f>
        <v>38</v>
      </c>
      <c r="K45" s="16">
        <f>IF(K41&gt;1000000,ROUNDDOWN(K41,-2),IF(K41&gt;100000,ROUNDDOWN(K41,-2),IF(K41&gt;10000,ROUNDDOWN(K41,-2),IF(K41&gt;1000,ROUNDDOWN(K41,-2),IF(K41&gt;100,ROUNDDOWN(K41,-1),IF(K41&gt;10,ROUNDDOWN(K41,0),K41))))))</f>
        <v>26</v>
      </c>
    </row>
    <row r="46" spans="1:11">
      <c r="A46" s="16" t="s">
        <v>452</v>
      </c>
      <c r="C46" s="16">
        <f>IF(C42&gt;1000000,ROUNDUP(C42,-2),IF(C42&gt;100000,ROUNDUP(C42,-2),IF(C42&gt;10000,ROUNDUP(C42,-2),IF(C42&gt;1000,ROUNDUP(C42,-2),IF(C42&gt;100,ROUNDUP(C42,-1),IF(C42&gt;10,ROUNDUP(C42,0),C42))))))</f>
        <v>430</v>
      </c>
      <c r="E46" s="16">
        <f>IF(E42&gt;1000000,ROUNDUP(E42,-4),IF(E42&gt;100000,ROUNDUP(E42,-3),IF(E42&gt;10000,ROUNDUP(E42,-3),IF(E42&gt;1000,ROUNDUP(E42,-2),IF(E42&gt;100,ROUNDUP(E42,-1),IF(E42&gt;10,ROUNDUP(E42,0),E42))))))</f>
        <v>220</v>
      </c>
      <c r="G46" s="16">
        <f>IF(G42&gt;1000000,ROUNDUP(G42,-4),IF(G42&gt;100000,ROUNDUP(G42,-3),IF(G42&gt;10000,ROUNDUP(G42,-3),IF(G42&gt;1000,ROUNDUP(G42,-2),IF(G42&gt;100,ROUNDUP(G42,-1),IF(G42&gt;10,ROUNDUP(G42,-1),G42))))))</f>
        <v>20</v>
      </c>
      <c r="I46" s="16">
        <f>IF(I42&gt;1000000,ROUNDUP(I42,-4),IF(I42&gt;100000,ROUNDUP(I42,-3),IF(I42&gt;10000,ROUNDUP(I42,-3),IF(I42&gt;1000,ROUNDUP(I42,-2),IF(I42&gt;100,ROUNDUP(I42,-1),IF(I42&gt;10,ROUNDUP(I42,0),I42))))))</f>
        <v>9</v>
      </c>
      <c r="K46" s="16">
        <f>IF(K42&gt;1000000,ROUNDUP(K42,-4),IF(K42&gt;100000,ROUNDUP(K42,-3),IF(K42&gt;10000,ROUNDUP(K42,-3),IF(K42&gt;1000,ROUNDUP(K42,-2),IF(K42&gt;100,ROUNDUP(K42,-1),IF(K42&gt;10,ROUNDUP(K42,0),K42))))))</f>
        <v>6</v>
      </c>
    </row>
  </sheetData>
  <mergeCells count="43">
    <mergeCell ref="C15:D17"/>
    <mergeCell ref="V15:X15"/>
    <mergeCell ref="B21:D21"/>
    <mergeCell ref="G21:H21"/>
    <mergeCell ref="W12:W14"/>
    <mergeCell ref="C18:E18"/>
    <mergeCell ref="S18:S19"/>
    <mergeCell ref="T18:T19"/>
    <mergeCell ref="U18:U19"/>
    <mergeCell ref="V18:V19"/>
    <mergeCell ref="B12:B14"/>
    <mergeCell ref="C12:D14"/>
    <mergeCell ref="Q12:Q14"/>
    <mergeCell ref="S12:S14"/>
    <mergeCell ref="T12:T14"/>
    <mergeCell ref="U12:U14"/>
    <mergeCell ref="W9:W11"/>
    <mergeCell ref="W6:W8"/>
    <mergeCell ref="B9:B11"/>
    <mergeCell ref="C9:D11"/>
    <mergeCell ref="Q9:Q11"/>
    <mergeCell ref="S9:S11"/>
    <mergeCell ref="T9:T11"/>
    <mergeCell ref="B6:B8"/>
    <mergeCell ref="C6:D8"/>
    <mergeCell ref="Q6:Q8"/>
    <mergeCell ref="S6:S8"/>
    <mergeCell ref="T6:T8"/>
    <mergeCell ref="U6:U8"/>
    <mergeCell ref="B4:D5"/>
    <mergeCell ref="E4:F5"/>
    <mergeCell ref="G4:I5"/>
    <mergeCell ref="S4:S5"/>
    <mergeCell ref="U9:U11"/>
    <mergeCell ref="T4:T5"/>
    <mergeCell ref="E3:I3"/>
    <mergeCell ref="K3:K4"/>
    <mergeCell ref="M3:M4"/>
    <mergeCell ref="O3:O4"/>
    <mergeCell ref="S3:W3"/>
    <mergeCell ref="U4:U5"/>
    <mergeCell ref="V4:V5"/>
    <mergeCell ref="W4:W5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2:X37"/>
  <sheetViews>
    <sheetView topLeftCell="K14" zoomScale="130" zoomScaleNormal="130" workbookViewId="0">
      <selection activeCell="AA28" sqref="AA28"/>
    </sheetView>
  </sheetViews>
  <sheetFormatPr baseColWidth="10" defaultColWidth="9.140625" defaultRowHeight="15"/>
  <sheetData>
    <row r="2" spans="2:16" ht="21">
      <c r="B2" s="634" t="s">
        <v>473</v>
      </c>
      <c r="I2" s="634" t="s">
        <v>474</v>
      </c>
      <c r="P2" s="634" t="s">
        <v>475</v>
      </c>
    </row>
    <row r="21" spans="23:24">
      <c r="W21" t="s">
        <v>476</v>
      </c>
    </row>
    <row r="26" spans="23:24" ht="18.75">
      <c r="X26" s="635"/>
    </row>
    <row r="35" spans="23:23">
      <c r="W35" t="s">
        <v>477</v>
      </c>
    </row>
    <row r="37" spans="23:23">
      <c r="W37" t="s">
        <v>476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A41"/>
  <sheetViews>
    <sheetView topLeftCell="A13" workbookViewId="0">
      <selection activeCell="Q23" sqref="Q23"/>
    </sheetView>
  </sheetViews>
  <sheetFormatPr baseColWidth="10" defaultColWidth="9.140625" defaultRowHeight="15"/>
  <cols>
    <col min="1" max="2" width="5.28515625" customWidth="1"/>
    <col min="6" max="6" width="5.5703125" customWidth="1"/>
    <col min="9" max="9" width="2.85546875" customWidth="1"/>
    <col min="14" max="14" width="4.28515625" customWidth="1"/>
    <col min="18" max="18" width="6.28515625" customWidth="1"/>
    <col min="19" max="20" width="5.7109375" customWidth="1"/>
    <col min="21" max="25" width="8.85546875" style="2"/>
    <col min="26" max="26" width="2.7109375" style="2" customWidth="1"/>
    <col min="27" max="27" width="8.85546875" style="2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6" ht="16.899999999999999" customHeight="1">
      <c r="A2" s="4"/>
      <c r="B2" s="746"/>
      <c r="C2" s="746"/>
      <c r="D2" s="747"/>
      <c r="E2" s="747"/>
      <c r="F2" s="747"/>
      <c r="G2" s="747"/>
      <c r="H2" s="746"/>
      <c r="I2" s="746"/>
      <c r="J2" s="746"/>
      <c r="K2" s="748"/>
      <c r="L2" s="748"/>
      <c r="M2" s="748"/>
      <c r="N2" s="4"/>
      <c r="O2" s="746"/>
      <c r="P2" s="746"/>
      <c r="Q2" s="743"/>
      <c r="R2" s="743"/>
      <c r="S2" s="103"/>
      <c r="T2" s="103"/>
    </row>
    <row r="3" spans="1:26" ht="6" customHeight="1">
      <c r="A3" s="4"/>
      <c r="B3" s="4"/>
      <c r="C3" s="4"/>
      <c r="D3" s="4"/>
      <c r="E3" s="4"/>
      <c r="F3" s="4"/>
      <c r="G3" s="4"/>
      <c r="H3" s="104"/>
      <c r="I3" s="104"/>
      <c r="J3" s="10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6" ht="16.899999999999999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750"/>
      <c r="R4" s="750"/>
      <c r="S4" s="103"/>
      <c r="T4" s="103"/>
    </row>
    <row r="5" spans="1:26" ht="13.9" customHeight="1">
      <c r="A5" s="4"/>
      <c r="B5" s="4"/>
      <c r="C5" s="101"/>
      <c r="D5" s="4"/>
      <c r="E5" s="4"/>
      <c r="F5" s="4"/>
      <c r="G5" s="4"/>
      <c r="H5" s="4"/>
      <c r="I5" s="4"/>
      <c r="J5" s="4"/>
      <c r="K5" s="4"/>
      <c r="L5" s="101"/>
      <c r="M5" s="4"/>
      <c r="N5" s="4"/>
      <c r="O5" s="4"/>
      <c r="P5" s="4"/>
      <c r="Q5" s="4"/>
      <c r="R5" s="4"/>
      <c r="S5" s="4"/>
      <c r="T5" s="4"/>
      <c r="W5" s="110"/>
      <c r="X5" s="110"/>
      <c r="Y5" s="110"/>
      <c r="Z5" s="110"/>
    </row>
    <row r="6" spans="1:26" ht="13.9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W6" s="110"/>
      <c r="X6" s="110"/>
      <c r="Y6" s="110"/>
      <c r="Z6" s="110"/>
    </row>
    <row r="7" spans="1:26" ht="13.9" customHeight="1">
      <c r="A7" s="4"/>
      <c r="B7" s="4"/>
      <c r="C7" s="4"/>
      <c r="D7" s="4"/>
      <c r="E7" s="4"/>
      <c r="F7" s="751"/>
      <c r="G7" s="751"/>
      <c r="H7" s="751"/>
      <c r="I7" s="4"/>
      <c r="J7" s="4"/>
      <c r="K7" s="4"/>
      <c r="L7" s="4"/>
      <c r="M7" s="4"/>
      <c r="N7" s="4"/>
      <c r="O7" s="752"/>
      <c r="P7" s="753"/>
      <c r="Q7" s="753"/>
      <c r="R7" s="63"/>
      <c r="S7" s="4"/>
      <c r="T7" s="4"/>
      <c r="W7" s="749"/>
      <c r="X7" s="749"/>
      <c r="Y7" s="749"/>
      <c r="Z7" s="110"/>
    </row>
    <row r="8" spans="1:26" ht="13.9" customHeight="1">
      <c r="A8" s="4"/>
      <c r="B8" s="4"/>
      <c r="C8" s="4"/>
      <c r="D8" s="4"/>
      <c r="E8" s="4"/>
      <c r="F8" s="751"/>
      <c r="G8" s="751"/>
      <c r="H8" s="751"/>
      <c r="I8" s="4"/>
      <c r="J8" s="4"/>
      <c r="K8" s="4"/>
      <c r="L8" s="4"/>
      <c r="M8" s="4"/>
      <c r="N8" s="4"/>
      <c r="O8" s="753"/>
      <c r="P8" s="753"/>
      <c r="Q8" s="753"/>
      <c r="R8" s="63"/>
      <c r="S8" s="4"/>
      <c r="T8" s="4"/>
      <c r="W8" s="749"/>
      <c r="X8" s="749"/>
      <c r="Y8" s="749"/>
      <c r="Z8" s="110"/>
    </row>
    <row r="9" spans="1:26" ht="13.9" customHeight="1">
      <c r="A9" s="4"/>
      <c r="B9" s="4"/>
      <c r="C9" s="4"/>
      <c r="D9" s="4"/>
      <c r="E9" s="4"/>
      <c r="F9" s="751"/>
      <c r="G9" s="751"/>
      <c r="H9" s="751"/>
      <c r="I9" s="4"/>
      <c r="J9" s="4"/>
      <c r="K9" s="4"/>
      <c r="L9" s="4"/>
      <c r="M9" s="4"/>
      <c r="N9" s="4"/>
      <c r="O9" s="753"/>
      <c r="P9" s="753"/>
      <c r="Q9" s="753"/>
      <c r="R9" s="63"/>
      <c r="S9" s="4"/>
      <c r="T9" s="4"/>
      <c r="W9" s="749"/>
      <c r="X9" s="749"/>
      <c r="Y9" s="749"/>
      <c r="Z9" s="110"/>
    </row>
    <row r="10" spans="1:26" ht="13.9" customHeight="1">
      <c r="A10" s="4"/>
      <c r="B10" s="4"/>
      <c r="C10" s="4"/>
      <c r="D10" s="4"/>
      <c r="E10" s="4"/>
      <c r="F10" s="751"/>
      <c r="G10" s="751"/>
      <c r="H10" s="751"/>
      <c r="I10" s="4"/>
      <c r="J10" s="4"/>
      <c r="K10" s="4"/>
      <c r="L10" s="4"/>
      <c r="M10" s="4"/>
      <c r="N10" s="4"/>
      <c r="O10" s="753"/>
      <c r="P10" s="753"/>
      <c r="Q10" s="753"/>
      <c r="R10" s="63"/>
      <c r="S10" s="4"/>
      <c r="T10" s="4"/>
      <c r="W10" s="749"/>
      <c r="X10" s="749"/>
      <c r="Y10" s="749"/>
      <c r="Z10" s="110"/>
    </row>
    <row r="11" spans="1:26" ht="13.9" customHeight="1">
      <c r="A11" s="4"/>
      <c r="B11" s="4"/>
      <c r="C11" s="4"/>
      <c r="D11" s="4"/>
      <c r="E11" s="4"/>
      <c r="F11" s="751"/>
      <c r="G11" s="751"/>
      <c r="H11" s="751"/>
      <c r="I11" s="4"/>
      <c r="J11" s="4"/>
      <c r="K11" s="4"/>
      <c r="L11" s="4"/>
      <c r="M11" s="4"/>
      <c r="N11" s="4"/>
      <c r="O11" s="753"/>
      <c r="P11" s="753"/>
      <c r="Q11" s="753"/>
      <c r="R11" s="63"/>
      <c r="S11" s="4"/>
      <c r="T11" s="4"/>
      <c r="W11" s="110"/>
      <c r="X11" s="110"/>
      <c r="Y11" s="110"/>
      <c r="Z11" s="110"/>
    </row>
    <row r="12" spans="1:26" ht="13.9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6" ht="13.9" customHeight="1">
      <c r="A13" s="4"/>
      <c r="B13" s="4"/>
      <c r="C13" s="101"/>
      <c r="D13" s="4"/>
      <c r="E13" s="4"/>
      <c r="F13" s="4"/>
      <c r="G13" s="4"/>
      <c r="H13" s="4"/>
      <c r="I13" s="4"/>
      <c r="J13" s="4"/>
      <c r="K13" s="4"/>
      <c r="L13" s="101"/>
      <c r="M13" s="4"/>
      <c r="N13" s="4"/>
      <c r="O13" s="4"/>
      <c r="P13" s="4"/>
      <c r="Q13" s="4"/>
      <c r="R13" s="4"/>
      <c r="S13" s="4"/>
      <c r="T13" s="4"/>
    </row>
    <row r="14" spans="1:26" ht="13.9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6" ht="13.9" customHeight="1">
      <c r="A15" s="4"/>
      <c r="B15" s="4"/>
      <c r="C15" s="4"/>
      <c r="D15" s="4"/>
      <c r="E15" s="4"/>
      <c r="F15" s="751"/>
      <c r="G15" s="751"/>
      <c r="H15" s="751"/>
      <c r="I15" s="4"/>
      <c r="J15" s="4"/>
      <c r="K15" s="4"/>
      <c r="L15" s="4"/>
      <c r="M15" s="4"/>
      <c r="N15" s="4"/>
      <c r="O15" s="752"/>
      <c r="P15" s="753"/>
      <c r="Q15" s="753"/>
      <c r="R15" s="63"/>
      <c r="S15" s="4"/>
      <c r="T15" s="4"/>
    </row>
    <row r="16" spans="1:26" ht="13.9" customHeight="1">
      <c r="A16" s="4"/>
      <c r="B16" s="4"/>
      <c r="C16" s="4"/>
      <c r="D16" s="4"/>
      <c r="E16" s="4"/>
      <c r="F16" s="751"/>
      <c r="G16" s="751"/>
      <c r="H16" s="751"/>
      <c r="I16" s="4"/>
      <c r="J16" s="19"/>
      <c r="K16" s="19"/>
      <c r="L16" s="4"/>
      <c r="M16" s="4"/>
      <c r="N16" s="4"/>
      <c r="O16" s="753"/>
      <c r="P16" s="753"/>
      <c r="Q16" s="753"/>
      <c r="R16" s="63"/>
      <c r="S16" s="4"/>
      <c r="T16" s="4"/>
    </row>
    <row r="17" spans="1:24" ht="13.9" customHeight="1">
      <c r="A17" s="4"/>
      <c r="B17" s="4"/>
      <c r="C17" s="4"/>
      <c r="D17" s="4"/>
      <c r="E17" s="4"/>
      <c r="F17" s="751"/>
      <c r="G17" s="751"/>
      <c r="H17" s="751"/>
      <c r="I17" s="4"/>
      <c r="J17" s="19"/>
      <c r="K17" s="19"/>
      <c r="L17" s="4"/>
      <c r="M17" s="4"/>
      <c r="N17" s="4"/>
      <c r="O17" s="753"/>
      <c r="P17" s="753"/>
      <c r="Q17" s="753"/>
      <c r="R17" s="63"/>
      <c r="S17" s="4"/>
      <c r="T17" s="4"/>
    </row>
    <row r="18" spans="1:24" ht="13.9" customHeight="1">
      <c r="A18" s="4"/>
      <c r="B18" s="4"/>
      <c r="C18" s="4"/>
      <c r="D18" s="4"/>
      <c r="E18" s="4"/>
      <c r="F18" s="751"/>
      <c r="G18" s="751"/>
      <c r="H18" s="751"/>
      <c r="I18" s="4"/>
      <c r="J18" s="19"/>
      <c r="K18" s="19"/>
      <c r="L18" s="4"/>
      <c r="M18" s="4"/>
      <c r="N18" s="4"/>
      <c r="O18" s="753"/>
      <c r="P18" s="753"/>
      <c r="Q18" s="753"/>
      <c r="R18" s="63"/>
      <c r="S18" s="4"/>
      <c r="T18" s="4"/>
    </row>
    <row r="19" spans="1:24" ht="13.9" customHeight="1">
      <c r="A19" s="4"/>
      <c r="B19" s="4"/>
      <c r="C19" s="4"/>
      <c r="D19" s="4"/>
      <c r="E19" s="4"/>
      <c r="F19" s="751"/>
      <c r="G19" s="751"/>
      <c r="H19" s="751"/>
      <c r="I19" s="4"/>
      <c r="J19" s="19"/>
      <c r="K19" s="19"/>
      <c r="L19" s="4"/>
      <c r="M19" s="4"/>
      <c r="N19" s="4"/>
      <c r="O19" s="753"/>
      <c r="P19" s="753"/>
      <c r="Q19" s="753"/>
      <c r="R19" s="63"/>
      <c r="S19" s="4"/>
      <c r="T19" s="4"/>
      <c r="X19" s="2" t="s">
        <v>220</v>
      </c>
    </row>
    <row r="20" spans="1:24" ht="13.9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X20" s="2" t="s">
        <v>219</v>
      </c>
    </row>
    <row r="21" spans="1:2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4">
      <c r="A22" s="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1"/>
      <c r="T22" s="1"/>
    </row>
    <row r="23" spans="1:24">
      <c r="A23" s="1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1"/>
      <c r="T23" s="1"/>
    </row>
    <row r="24" spans="1:24">
      <c r="A24" s="1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1"/>
      <c r="T24" s="1"/>
    </row>
    <row r="25" spans="1:24" ht="18.75">
      <c r="A25" s="1"/>
      <c r="B25" s="741" t="s">
        <v>89</v>
      </c>
      <c r="C25" s="741"/>
      <c r="D25" s="744" t="s">
        <v>210</v>
      </c>
      <c r="E25" s="744"/>
      <c r="F25" s="744"/>
      <c r="G25" s="744"/>
      <c r="H25" s="109"/>
      <c r="I25" s="109"/>
      <c r="J25" s="741" t="s">
        <v>0</v>
      </c>
      <c r="K25" s="741"/>
      <c r="L25" s="745">
        <v>43223</v>
      </c>
      <c r="M25" s="745"/>
      <c r="N25" s="3"/>
      <c r="O25" s="741"/>
      <c r="P25" s="741"/>
      <c r="Q25" s="102"/>
      <c r="R25" s="102"/>
      <c r="S25" s="3"/>
      <c r="T25" s="1"/>
    </row>
    <row r="26" spans="1:24">
      <c r="A26" s="1"/>
      <c r="B26" s="1"/>
      <c r="C26" s="4"/>
      <c r="D26" s="4"/>
      <c r="E26" s="4"/>
      <c r="F26" s="4"/>
      <c r="G26" s="4"/>
      <c r="H26" s="4"/>
      <c r="I26" s="4"/>
      <c r="J26" s="15"/>
      <c r="K26" s="4"/>
      <c r="L26" s="1"/>
      <c r="M26" s="1"/>
      <c r="N26" s="1"/>
      <c r="O26" s="1"/>
      <c r="P26" s="1"/>
      <c r="Q26" s="1"/>
      <c r="R26" s="1"/>
      <c r="S26" s="1"/>
      <c r="T26" s="1"/>
    </row>
    <row r="27" spans="1:24" ht="18.75">
      <c r="A27" s="1"/>
      <c r="B27" s="741" t="s">
        <v>209</v>
      </c>
      <c r="C27" s="741"/>
      <c r="D27" s="744" t="s">
        <v>34</v>
      </c>
      <c r="E27" s="744"/>
      <c r="F27" s="744"/>
      <c r="G27" s="744"/>
      <c r="H27" s="1"/>
      <c r="I27" s="1"/>
      <c r="J27" s="741" t="s">
        <v>1</v>
      </c>
      <c r="K27" s="741"/>
      <c r="L27" s="742">
        <v>3.5999999999999997E-2</v>
      </c>
      <c r="M27" s="742"/>
      <c r="N27" s="3" t="s">
        <v>176</v>
      </c>
      <c r="O27" s="1"/>
      <c r="P27" s="1"/>
      <c r="Q27" s="1"/>
      <c r="R27" s="1"/>
      <c r="S27" s="1"/>
      <c r="T27" s="1"/>
    </row>
    <row r="28" spans="1:24" ht="18.75">
      <c r="A28" s="1"/>
      <c r="B28" s="13"/>
      <c r="C28" s="13"/>
      <c r="D28" s="13"/>
      <c r="E28" s="13"/>
      <c r="F28" s="13"/>
      <c r="G28" s="13"/>
      <c r="H28" s="13"/>
      <c r="I28" s="13"/>
      <c r="J28" s="741" t="s">
        <v>460</v>
      </c>
      <c r="K28" s="741"/>
      <c r="L28" s="742">
        <v>202</v>
      </c>
      <c r="M28" s="742"/>
      <c r="N28" s="3" t="s">
        <v>461</v>
      </c>
      <c r="O28" s="13"/>
      <c r="P28" s="13"/>
      <c r="Q28" s="13"/>
      <c r="R28" s="13"/>
      <c r="S28" s="13"/>
      <c r="T28" s="1"/>
      <c r="U28" s="2" t="s">
        <v>462</v>
      </c>
    </row>
    <row r="29" spans="1:2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</sheetData>
  <mergeCells count="23">
    <mergeCell ref="O25:P25"/>
    <mergeCell ref="W7:Y10"/>
    <mergeCell ref="Q4:R4"/>
    <mergeCell ref="F7:H11"/>
    <mergeCell ref="O7:Q11"/>
    <mergeCell ref="F15:H19"/>
    <mergeCell ref="O15:Q19"/>
    <mergeCell ref="J28:K28"/>
    <mergeCell ref="L28:M28"/>
    <mergeCell ref="Q2:R2"/>
    <mergeCell ref="B27:C27"/>
    <mergeCell ref="D27:G27"/>
    <mergeCell ref="J27:K27"/>
    <mergeCell ref="L27:M27"/>
    <mergeCell ref="J25:K25"/>
    <mergeCell ref="L25:M25"/>
    <mergeCell ref="B2:C2"/>
    <mergeCell ref="D2:G2"/>
    <mergeCell ref="H2:J2"/>
    <mergeCell ref="K2:M2"/>
    <mergeCell ref="O2:P2"/>
    <mergeCell ref="B25:C25"/>
    <mergeCell ref="D25:G2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A44"/>
  <sheetViews>
    <sheetView topLeftCell="A7" workbookViewId="0">
      <selection activeCell="P29" sqref="P29"/>
    </sheetView>
  </sheetViews>
  <sheetFormatPr baseColWidth="10" defaultColWidth="9.140625" defaultRowHeight="15"/>
  <cols>
    <col min="1" max="2" width="5.28515625" customWidth="1"/>
    <col min="4" max="4" width="10.5703125" customWidth="1"/>
    <col min="6" max="6" width="5.5703125" customWidth="1"/>
    <col min="9" max="9" width="2.85546875" customWidth="1"/>
    <col min="14" max="14" width="4.28515625" customWidth="1"/>
    <col min="18" max="18" width="6.28515625" customWidth="1"/>
    <col min="19" max="20" width="5.7109375" customWidth="1"/>
    <col min="21" max="25" width="8.85546875" style="2"/>
    <col min="26" max="26" width="2.7109375" style="2" customWidth="1"/>
    <col min="27" max="27" width="8.85546875" style="2"/>
  </cols>
  <sheetData>
    <row r="1" spans="1:2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7" ht="16.899999999999999" customHeight="1">
      <c r="A2" s="442"/>
      <c r="B2" s="746"/>
      <c r="C2" s="746"/>
      <c r="D2" s="747"/>
      <c r="E2" s="747"/>
      <c r="F2" s="747"/>
      <c r="G2" s="747"/>
      <c r="H2" s="746"/>
      <c r="I2" s="746"/>
      <c r="J2" s="746"/>
      <c r="K2" s="748"/>
      <c r="L2" s="748"/>
      <c r="M2" s="748"/>
      <c r="N2" s="442"/>
      <c r="O2" s="746"/>
      <c r="P2" s="746"/>
      <c r="Q2" s="743"/>
      <c r="R2" s="743"/>
      <c r="S2" s="103"/>
      <c r="T2" s="103"/>
    </row>
    <row r="3" spans="1:27" ht="6" customHeight="1">
      <c r="A3" s="442"/>
      <c r="B3" s="442"/>
      <c r="C3" s="442"/>
      <c r="D3" s="442"/>
      <c r="E3" s="442"/>
      <c r="F3" s="442"/>
      <c r="G3" s="442"/>
      <c r="H3" s="104"/>
      <c r="I3" s="104"/>
      <c r="J3" s="104"/>
      <c r="K3" s="442"/>
      <c r="L3" s="442"/>
      <c r="M3" s="442"/>
      <c r="N3" s="442"/>
      <c r="O3" s="442"/>
      <c r="P3" s="442"/>
      <c r="Q3" s="442"/>
      <c r="R3" s="442"/>
      <c r="S3" s="442"/>
      <c r="T3" s="442"/>
    </row>
    <row r="4" spans="1:27" ht="16.149999999999999" customHeight="1">
      <c r="A4" s="442"/>
      <c r="B4" s="442"/>
      <c r="C4" s="757" t="s">
        <v>330</v>
      </c>
      <c r="D4" s="757"/>
      <c r="E4" s="442"/>
      <c r="F4" s="756"/>
      <c r="G4" s="756"/>
      <c r="H4" s="756"/>
      <c r="I4" s="756"/>
      <c r="J4" s="756"/>
      <c r="K4" s="756"/>
      <c r="L4" s="756"/>
      <c r="M4" s="756"/>
      <c r="N4" s="442"/>
      <c r="O4" s="442"/>
      <c r="P4" s="442"/>
      <c r="Q4" s="750"/>
      <c r="R4" s="750"/>
      <c r="S4" s="103"/>
      <c r="T4" s="103"/>
    </row>
    <row r="5" spans="1:27" ht="16.149999999999999" customHeight="1">
      <c r="A5" s="442"/>
      <c r="B5" s="442"/>
      <c r="C5" s="457"/>
      <c r="D5" s="458"/>
      <c r="E5" s="442"/>
      <c r="F5" s="442"/>
      <c r="G5" s="442"/>
      <c r="H5" s="442"/>
      <c r="I5" s="442"/>
      <c r="J5" s="442"/>
      <c r="K5" s="442"/>
      <c r="L5" s="101"/>
      <c r="M5" s="442"/>
      <c r="N5" s="442"/>
      <c r="O5" s="442"/>
      <c r="P5" s="442"/>
      <c r="Q5" s="442"/>
      <c r="R5" s="442"/>
      <c r="S5" s="442"/>
      <c r="T5" s="442"/>
      <c r="W5" s="110"/>
      <c r="X5" s="110"/>
      <c r="Y5" s="110"/>
      <c r="Z5" s="110"/>
    </row>
    <row r="6" spans="1:27" ht="16.149999999999999" customHeight="1">
      <c r="A6" s="442"/>
      <c r="B6" s="442"/>
      <c r="C6" s="757" t="s">
        <v>331</v>
      </c>
      <c r="D6" s="757"/>
      <c r="E6" s="442"/>
      <c r="F6" s="756"/>
      <c r="G6" s="756"/>
      <c r="H6" s="456" t="s">
        <v>176</v>
      </c>
      <c r="I6" s="15"/>
      <c r="J6" s="454"/>
      <c r="K6" s="750"/>
      <c r="L6" s="750"/>
      <c r="M6" s="455"/>
      <c r="N6" s="442"/>
      <c r="O6" s="442"/>
      <c r="P6" s="442"/>
      <c r="Q6" s="442"/>
      <c r="R6" s="442"/>
      <c r="S6" s="442"/>
      <c r="T6" s="442"/>
      <c r="W6" s="110"/>
      <c r="X6" s="110"/>
      <c r="Y6" s="110"/>
      <c r="Z6" s="110"/>
    </row>
    <row r="7" spans="1:27" ht="16.149999999999999" customHeight="1">
      <c r="A7" s="442"/>
      <c r="B7" s="442"/>
      <c r="C7" s="458"/>
      <c r="D7" s="458"/>
      <c r="E7" s="442"/>
      <c r="F7" s="15"/>
      <c r="G7" s="15"/>
      <c r="H7" s="15"/>
      <c r="I7" s="442"/>
      <c r="J7" s="442"/>
      <c r="K7" s="442"/>
      <c r="L7" s="15"/>
      <c r="M7" s="15"/>
      <c r="N7" s="15"/>
      <c r="O7" s="15"/>
      <c r="P7" s="15"/>
      <c r="Q7" s="15"/>
      <c r="R7" s="443"/>
      <c r="S7" s="442"/>
      <c r="T7" s="442"/>
      <c r="W7" s="749"/>
      <c r="X7" s="749"/>
      <c r="Y7" s="749"/>
      <c r="Z7" s="110"/>
    </row>
    <row r="8" spans="1:27" ht="16.149999999999999" customHeight="1">
      <c r="A8" s="442"/>
      <c r="B8" s="442"/>
      <c r="C8" s="458"/>
      <c r="D8" s="458"/>
      <c r="E8" s="442"/>
      <c r="F8" s="15"/>
      <c r="G8" s="15"/>
      <c r="H8" s="15"/>
      <c r="I8" s="442"/>
      <c r="J8" s="442"/>
      <c r="K8" s="442"/>
      <c r="L8" s="15"/>
      <c r="M8" s="15"/>
      <c r="N8" s="15"/>
      <c r="O8" s="15"/>
      <c r="P8" s="15"/>
      <c r="Q8" s="15"/>
      <c r="R8" s="443"/>
      <c r="S8" s="442"/>
      <c r="T8" s="442"/>
      <c r="W8" s="749"/>
      <c r="X8" s="749"/>
      <c r="Y8" s="749"/>
      <c r="Z8" s="110"/>
    </row>
    <row r="9" spans="1:27" s="461" customFormat="1" ht="17.45" customHeight="1">
      <c r="A9" s="26"/>
      <c r="B9" s="26"/>
      <c r="C9" s="754" t="s">
        <v>332</v>
      </c>
      <c r="D9" s="754"/>
      <c r="E9" s="26"/>
      <c r="F9" s="755"/>
      <c r="G9" s="755"/>
      <c r="H9" s="755"/>
      <c r="I9" s="755"/>
      <c r="J9" s="26"/>
      <c r="K9" s="465" t="s">
        <v>336</v>
      </c>
      <c r="L9" s="756"/>
      <c r="M9" s="756"/>
      <c r="N9" s="756"/>
      <c r="O9" s="756"/>
      <c r="P9" s="15"/>
      <c r="Q9" s="756"/>
      <c r="R9" s="756"/>
      <c r="S9" s="756"/>
      <c r="T9" s="26"/>
      <c r="U9" s="459"/>
      <c r="V9" s="459"/>
      <c r="W9" s="749"/>
      <c r="X9" s="749"/>
      <c r="Y9" s="749"/>
      <c r="Z9" s="460"/>
      <c r="AA9" s="459"/>
    </row>
    <row r="10" spans="1:27" s="461" customFormat="1" ht="17.45" customHeight="1">
      <c r="A10" s="26"/>
      <c r="B10" s="26"/>
      <c r="C10" s="462"/>
      <c r="D10" s="462"/>
      <c r="E10" s="26"/>
      <c r="F10" s="26"/>
      <c r="G10" s="26"/>
      <c r="H10" s="26"/>
      <c r="I10" s="26"/>
      <c r="J10" s="26"/>
      <c r="K10" s="465"/>
      <c r="L10" s="15"/>
      <c r="M10" s="15"/>
      <c r="N10" s="15"/>
      <c r="O10" s="15"/>
      <c r="P10" s="15"/>
      <c r="Q10" s="15"/>
      <c r="R10" s="444"/>
      <c r="S10" s="26"/>
      <c r="T10" s="26"/>
      <c r="U10" s="459"/>
      <c r="V10" s="459"/>
      <c r="W10" s="749"/>
      <c r="X10" s="749"/>
      <c r="Y10" s="749"/>
      <c r="Z10" s="460"/>
      <c r="AA10" s="459"/>
    </row>
    <row r="11" spans="1:27" s="461" customFormat="1" ht="17.45" customHeight="1">
      <c r="A11" s="26"/>
      <c r="B11" s="26"/>
      <c r="C11" s="754" t="s">
        <v>333</v>
      </c>
      <c r="D11" s="754"/>
      <c r="E11" s="26"/>
      <c r="F11" s="755"/>
      <c r="G11" s="755"/>
      <c r="H11" s="755"/>
      <c r="I11" s="755"/>
      <c r="J11" s="26"/>
      <c r="K11" s="465" t="s">
        <v>336</v>
      </c>
      <c r="L11" s="756"/>
      <c r="M11" s="756"/>
      <c r="N11" s="756"/>
      <c r="O11" s="756"/>
      <c r="P11" s="15"/>
      <c r="Q11" s="756"/>
      <c r="R11" s="756"/>
      <c r="S11" s="756"/>
      <c r="T11" s="26"/>
      <c r="U11" s="459"/>
      <c r="V11" s="459"/>
      <c r="W11" s="749"/>
      <c r="X11" s="749"/>
      <c r="Y11" s="749"/>
      <c r="Z11" s="460"/>
      <c r="AA11" s="459"/>
    </row>
    <row r="12" spans="1:27" s="461" customFormat="1" ht="17.45" customHeight="1">
      <c r="A12" s="26"/>
      <c r="B12" s="26"/>
      <c r="C12" s="462"/>
      <c r="D12" s="462"/>
      <c r="E12" s="26"/>
      <c r="F12" s="26"/>
      <c r="G12" s="26"/>
      <c r="H12" s="26"/>
      <c r="I12" s="26"/>
      <c r="J12" s="26"/>
      <c r="K12" s="465"/>
      <c r="L12" s="15"/>
      <c r="M12" s="15"/>
      <c r="N12" s="15"/>
      <c r="O12" s="15"/>
      <c r="P12" s="15"/>
      <c r="Q12" s="15"/>
      <c r="R12" s="444"/>
      <c r="S12" s="26"/>
      <c r="T12" s="26"/>
      <c r="U12" s="459"/>
      <c r="V12" s="459"/>
      <c r="W12" s="460"/>
      <c r="X12" s="460"/>
      <c r="Y12" s="460"/>
      <c r="Z12" s="460"/>
      <c r="AA12" s="459"/>
    </row>
    <row r="13" spans="1:27" s="461" customFormat="1" ht="17.45" customHeight="1">
      <c r="A13" s="26"/>
      <c r="B13" s="26"/>
      <c r="C13" s="754" t="s">
        <v>334</v>
      </c>
      <c r="D13" s="754"/>
      <c r="E13" s="26"/>
      <c r="F13" s="755"/>
      <c r="G13" s="755"/>
      <c r="H13" s="755"/>
      <c r="I13" s="755"/>
      <c r="J13" s="26"/>
      <c r="K13" s="465" t="s">
        <v>336</v>
      </c>
      <c r="L13" s="756"/>
      <c r="M13" s="756"/>
      <c r="N13" s="756"/>
      <c r="O13" s="756"/>
      <c r="P13" s="26"/>
      <c r="Q13" s="756"/>
      <c r="R13" s="756"/>
      <c r="S13" s="756"/>
      <c r="T13" s="26"/>
      <c r="U13" s="459"/>
      <c r="V13" s="459"/>
      <c r="W13" s="459"/>
      <c r="X13" s="459"/>
      <c r="Y13" s="459"/>
      <c r="Z13" s="459"/>
      <c r="AA13" s="459"/>
    </row>
    <row r="14" spans="1:27" s="461" customFormat="1" ht="17.45" customHeight="1">
      <c r="A14" s="26"/>
      <c r="B14" s="26"/>
      <c r="C14" s="463"/>
      <c r="D14" s="462"/>
      <c r="E14" s="26"/>
      <c r="F14" s="26"/>
      <c r="G14" s="26"/>
      <c r="H14" s="26"/>
      <c r="I14" s="26"/>
      <c r="J14" s="26"/>
      <c r="K14" s="465"/>
      <c r="L14" s="464"/>
      <c r="M14" s="26"/>
      <c r="N14" s="26"/>
      <c r="O14" s="26"/>
      <c r="P14" s="26"/>
      <c r="Q14" s="26"/>
      <c r="R14" s="26"/>
      <c r="S14" s="26"/>
      <c r="T14" s="26"/>
      <c r="U14" s="459"/>
      <c r="V14" s="459"/>
      <c r="W14" s="459"/>
      <c r="X14" s="459"/>
      <c r="Y14" s="459"/>
      <c r="Z14" s="459"/>
      <c r="AA14" s="459"/>
    </row>
    <row r="15" spans="1:27" s="461" customFormat="1" ht="17.45" customHeight="1">
      <c r="A15" s="26"/>
      <c r="B15" s="26"/>
      <c r="C15" s="754" t="s">
        <v>335</v>
      </c>
      <c r="D15" s="754"/>
      <c r="E15" s="26"/>
      <c r="F15" s="755"/>
      <c r="G15" s="755"/>
      <c r="H15" s="755"/>
      <c r="I15" s="755"/>
      <c r="J15" s="26"/>
      <c r="K15" s="465" t="s">
        <v>336</v>
      </c>
      <c r="L15" s="756"/>
      <c r="M15" s="756"/>
      <c r="N15" s="756"/>
      <c r="O15" s="756"/>
      <c r="P15" s="26"/>
      <c r="Q15" s="756"/>
      <c r="R15" s="756"/>
      <c r="S15" s="756"/>
      <c r="T15" s="26"/>
      <c r="U15" s="459"/>
      <c r="V15" s="459"/>
      <c r="W15" s="459"/>
      <c r="X15" s="459"/>
      <c r="Y15" s="459"/>
      <c r="Z15" s="459"/>
      <c r="AA15" s="459"/>
    </row>
    <row r="16" spans="1:27" ht="13.9" customHeight="1">
      <c r="A16" s="442"/>
      <c r="B16" s="442"/>
      <c r="C16" s="442"/>
      <c r="D16" s="442"/>
      <c r="E16" s="442"/>
      <c r="F16" s="751"/>
      <c r="G16" s="751"/>
      <c r="H16" s="751"/>
      <c r="I16" s="442"/>
      <c r="J16" s="442"/>
      <c r="K16" s="442"/>
      <c r="L16" s="442"/>
      <c r="M16" s="442"/>
      <c r="N16" s="442"/>
      <c r="O16" s="752"/>
      <c r="P16" s="753"/>
      <c r="Q16" s="753"/>
      <c r="R16" s="443"/>
      <c r="S16" s="442"/>
      <c r="T16" s="442"/>
    </row>
    <row r="17" spans="1:24" ht="13.9" customHeight="1">
      <c r="A17" s="442"/>
      <c r="B17" s="442"/>
      <c r="C17" s="442"/>
      <c r="D17" s="442"/>
      <c r="E17" s="442"/>
      <c r="F17" s="751"/>
      <c r="G17" s="751"/>
      <c r="H17" s="751"/>
      <c r="I17" s="442"/>
      <c r="J17" s="19"/>
      <c r="K17" s="19"/>
      <c r="L17" s="442"/>
      <c r="M17" s="442"/>
      <c r="N17" s="442"/>
      <c r="O17" s="753"/>
      <c r="P17" s="753"/>
      <c r="Q17" s="753"/>
      <c r="R17" s="443"/>
      <c r="S17" s="442"/>
      <c r="T17" s="442"/>
    </row>
    <row r="18" spans="1:24" ht="13.9" customHeight="1">
      <c r="A18" s="442"/>
      <c r="B18" s="442"/>
      <c r="C18" s="442"/>
      <c r="D18" s="442"/>
      <c r="E18" s="442"/>
      <c r="F18" s="751"/>
      <c r="G18" s="751"/>
      <c r="H18" s="751"/>
      <c r="I18" s="442"/>
      <c r="J18" s="19"/>
      <c r="K18" s="19"/>
      <c r="L18" s="442"/>
      <c r="M18" s="442"/>
      <c r="N18" s="442"/>
      <c r="O18" s="753"/>
      <c r="P18" s="753"/>
      <c r="Q18" s="753"/>
      <c r="R18" s="443"/>
      <c r="S18" s="442"/>
      <c r="T18" s="442"/>
    </row>
    <row r="19" spans="1:24" ht="13.9" customHeight="1">
      <c r="A19" s="442"/>
      <c r="B19" s="442"/>
      <c r="C19" s="442"/>
      <c r="D19" s="442"/>
      <c r="E19" s="442"/>
      <c r="F19" s="751"/>
      <c r="G19" s="751"/>
      <c r="H19" s="751"/>
      <c r="I19" s="442"/>
      <c r="J19" s="19"/>
      <c r="K19" s="19"/>
      <c r="L19" s="442"/>
      <c r="M19" s="442"/>
      <c r="N19" s="442"/>
      <c r="O19" s="753"/>
      <c r="P19" s="753"/>
      <c r="Q19" s="753"/>
      <c r="R19" s="443"/>
      <c r="S19" s="442"/>
      <c r="T19" s="442"/>
    </row>
    <row r="20" spans="1:24" ht="13.9" customHeight="1">
      <c r="A20" s="442"/>
      <c r="B20" s="442"/>
      <c r="C20" s="442"/>
      <c r="D20" s="442"/>
      <c r="E20" s="442"/>
      <c r="F20" s="751"/>
      <c r="G20" s="751"/>
      <c r="H20" s="751"/>
      <c r="I20" s="442"/>
      <c r="J20" s="19"/>
      <c r="K20" s="19"/>
      <c r="L20" s="442"/>
      <c r="M20" s="442"/>
      <c r="N20" s="442"/>
      <c r="O20" s="753"/>
      <c r="P20" s="753"/>
      <c r="Q20" s="753"/>
      <c r="R20" s="443"/>
      <c r="S20" s="442"/>
      <c r="T20" s="442"/>
      <c r="X20" s="2" t="s">
        <v>220</v>
      </c>
    </row>
    <row r="21" spans="1:24" ht="13.9" customHeight="1">
      <c r="A21" s="442"/>
      <c r="B21" s="442"/>
      <c r="C21" s="442"/>
      <c r="D21" s="442"/>
      <c r="E21" s="442"/>
      <c r="F21" s="442"/>
      <c r="G21" s="442"/>
      <c r="H21" s="442"/>
      <c r="I21" s="442"/>
      <c r="J21" s="442"/>
      <c r="K21" s="442"/>
      <c r="L21" s="442"/>
      <c r="M21" s="442"/>
      <c r="N21" s="442"/>
      <c r="O21" s="442"/>
      <c r="P21" s="442"/>
      <c r="Q21" s="442"/>
      <c r="R21" s="442"/>
      <c r="S21" s="442"/>
      <c r="T21" s="442"/>
      <c r="X21" s="2" t="s">
        <v>219</v>
      </c>
    </row>
    <row r="22" spans="1:24" ht="13.9" customHeight="1">
      <c r="A22" s="442"/>
      <c r="B22" s="442"/>
      <c r="C22" s="442"/>
      <c r="D22" s="442"/>
      <c r="E22" s="442"/>
      <c r="F22" s="442"/>
      <c r="G22" s="442"/>
      <c r="H22" s="442"/>
      <c r="I22" s="442"/>
      <c r="J22" s="442"/>
      <c r="K22" s="442"/>
      <c r="L22" s="442"/>
      <c r="M22" s="442"/>
      <c r="N22" s="442"/>
      <c r="O22" s="442"/>
      <c r="P22" s="442"/>
      <c r="Q22" s="442"/>
      <c r="R22" s="442"/>
      <c r="S22" s="442"/>
      <c r="T22" s="442"/>
    </row>
    <row r="23" spans="1:24" ht="13.9" customHeight="1">
      <c r="A23" s="442"/>
      <c r="B23" s="442"/>
      <c r="C23" s="442"/>
      <c r="D23" s="442"/>
      <c r="E23" s="442"/>
      <c r="F23" s="442"/>
      <c r="G23" s="442"/>
      <c r="H23" s="442"/>
      <c r="I23" s="442"/>
      <c r="J23" s="442"/>
      <c r="K23" s="442"/>
      <c r="L23" s="442"/>
      <c r="M23" s="442"/>
      <c r="N23" s="442"/>
      <c r="O23" s="442"/>
      <c r="P23" s="442"/>
      <c r="Q23" s="442"/>
      <c r="R23" s="442"/>
      <c r="S23" s="442"/>
      <c r="T23" s="442"/>
    </row>
    <row r="24" spans="1:24">
      <c r="A24" s="442"/>
      <c r="B24" s="442"/>
      <c r="C24" s="442"/>
      <c r="D24" s="442"/>
      <c r="E24" s="442"/>
      <c r="F24" s="442"/>
      <c r="G24" s="442"/>
      <c r="H24" s="442"/>
      <c r="I24" s="442"/>
      <c r="J24" s="442"/>
      <c r="K24" s="442"/>
      <c r="L24" s="442"/>
      <c r="M24" s="442"/>
      <c r="N24" s="442"/>
      <c r="O24" s="442"/>
      <c r="P24" s="442"/>
      <c r="Q24" s="442"/>
      <c r="R24" s="442"/>
      <c r="S24" s="442"/>
      <c r="T24" s="442"/>
    </row>
    <row r="25" spans="1:24">
      <c r="A25" s="1"/>
      <c r="B25" s="442"/>
      <c r="C25" s="442"/>
      <c r="D25" s="442"/>
      <c r="E25" s="442"/>
      <c r="F25" s="442"/>
      <c r="G25" s="442"/>
      <c r="H25" s="442"/>
      <c r="I25" s="442"/>
      <c r="J25" s="442"/>
      <c r="K25" s="442"/>
      <c r="L25" s="442"/>
      <c r="M25" s="442"/>
      <c r="N25" s="442"/>
      <c r="O25" s="442"/>
      <c r="P25" s="442"/>
      <c r="Q25" s="442"/>
      <c r="R25" s="442"/>
      <c r="S25" s="1"/>
      <c r="T25" s="1"/>
    </row>
    <row r="26" spans="1:24" ht="28.15" customHeight="1">
      <c r="A26" s="2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2"/>
      <c r="T26" s="2"/>
    </row>
    <row r="27" spans="1:24">
      <c r="A27" s="1"/>
      <c r="B27" s="442"/>
      <c r="C27" s="442"/>
      <c r="D27" s="442"/>
      <c r="E27" s="442"/>
      <c r="F27" s="442"/>
      <c r="G27" s="442"/>
      <c r="H27" s="442"/>
      <c r="I27" s="442"/>
      <c r="J27" s="442"/>
      <c r="K27" s="442"/>
      <c r="L27" s="442"/>
      <c r="M27" s="442"/>
      <c r="N27" s="442"/>
      <c r="O27" s="442"/>
      <c r="P27" s="442"/>
      <c r="Q27" s="442"/>
      <c r="R27" s="442"/>
      <c r="S27" s="1"/>
      <c r="T27" s="1"/>
    </row>
    <row r="28" spans="1:24" ht="18.75">
      <c r="A28" s="1"/>
      <c r="B28" s="741" t="s">
        <v>89</v>
      </c>
      <c r="C28" s="741"/>
      <c r="D28" s="744" t="s">
        <v>210</v>
      </c>
      <c r="E28" s="744"/>
      <c r="F28" s="744"/>
      <c r="G28" s="744"/>
      <c r="H28" s="109"/>
      <c r="I28" s="109"/>
      <c r="J28" s="741" t="s">
        <v>0</v>
      </c>
      <c r="K28" s="741"/>
      <c r="L28" s="745">
        <v>43223</v>
      </c>
      <c r="M28" s="745"/>
      <c r="N28" s="3"/>
      <c r="O28" s="741"/>
      <c r="P28" s="741"/>
      <c r="Q28" s="442"/>
      <c r="R28" s="442"/>
      <c r="S28" s="3"/>
      <c r="T28" s="1"/>
    </row>
    <row r="29" spans="1:24">
      <c r="A29" s="1"/>
      <c r="B29" s="1"/>
      <c r="C29" s="442"/>
      <c r="D29" s="442"/>
      <c r="E29" s="442"/>
      <c r="F29" s="442"/>
      <c r="G29" s="442"/>
      <c r="H29" s="442"/>
      <c r="I29" s="442"/>
      <c r="J29" s="15"/>
      <c r="K29" s="442"/>
      <c r="L29" s="1"/>
      <c r="M29" s="1"/>
      <c r="N29" s="1"/>
      <c r="O29" s="1"/>
      <c r="P29" s="1"/>
      <c r="Q29" s="1"/>
      <c r="R29" s="1"/>
      <c r="S29" s="1"/>
      <c r="T29" s="1"/>
    </row>
    <row r="30" spans="1:24" ht="18.75">
      <c r="A30" s="1"/>
      <c r="B30" s="741" t="s">
        <v>209</v>
      </c>
      <c r="C30" s="741"/>
      <c r="D30" s="744" t="s">
        <v>34</v>
      </c>
      <c r="E30" s="744"/>
      <c r="F30" s="744"/>
      <c r="G30" s="744"/>
      <c r="H30" s="1"/>
      <c r="I30" s="1"/>
      <c r="J30" s="741" t="s">
        <v>1</v>
      </c>
      <c r="K30" s="741"/>
      <c r="L30" s="742">
        <v>0.05</v>
      </c>
      <c r="M30" s="742"/>
      <c r="N30" s="3" t="s">
        <v>176</v>
      </c>
      <c r="O30" s="1"/>
      <c r="P30" s="1"/>
      <c r="Q30" s="1"/>
      <c r="R30" s="1"/>
      <c r="S30" s="1"/>
      <c r="T30" s="1"/>
    </row>
    <row r="31" spans="1:24" ht="18.75">
      <c r="A31" s="1"/>
      <c r="B31" s="13"/>
      <c r="C31" s="13"/>
      <c r="D31" s="13"/>
      <c r="E31" s="13"/>
      <c r="F31" s="13"/>
      <c r="G31" s="13"/>
      <c r="H31" s="13"/>
      <c r="I31" s="13"/>
      <c r="J31" s="741" t="s">
        <v>460</v>
      </c>
      <c r="K31" s="741"/>
      <c r="L31" s="742">
        <v>202</v>
      </c>
      <c r="M31" s="742"/>
      <c r="N31" s="3" t="s">
        <v>461</v>
      </c>
      <c r="O31" s="13"/>
      <c r="P31" s="13"/>
      <c r="Q31" s="13"/>
      <c r="R31" s="13"/>
      <c r="S31" s="13"/>
      <c r="T31" s="1"/>
    </row>
    <row r="32" spans="1:2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</sheetData>
  <mergeCells count="42">
    <mergeCell ref="Q2:R2"/>
    <mergeCell ref="B2:C2"/>
    <mergeCell ref="D2:G2"/>
    <mergeCell ref="H2:J2"/>
    <mergeCell ref="K2:M2"/>
    <mergeCell ref="O2:P2"/>
    <mergeCell ref="W7:Y11"/>
    <mergeCell ref="F16:H20"/>
    <mergeCell ref="O16:Q20"/>
    <mergeCell ref="F6:G6"/>
    <mergeCell ref="K6:L6"/>
    <mergeCell ref="F9:I9"/>
    <mergeCell ref="Q11:S11"/>
    <mergeCell ref="Q13:S13"/>
    <mergeCell ref="Q15:S15"/>
    <mergeCell ref="Q4:R4"/>
    <mergeCell ref="F4:M4"/>
    <mergeCell ref="B28:C28"/>
    <mergeCell ref="D28:G28"/>
    <mergeCell ref="J28:K28"/>
    <mergeCell ref="L28:M28"/>
    <mergeCell ref="O28:P28"/>
    <mergeCell ref="Q9:S9"/>
    <mergeCell ref="C4:D4"/>
    <mergeCell ref="C6:D6"/>
    <mergeCell ref="C9:D9"/>
    <mergeCell ref="C11:D11"/>
    <mergeCell ref="J31:K31"/>
    <mergeCell ref="L31:M31"/>
    <mergeCell ref="C15:D15"/>
    <mergeCell ref="F15:I15"/>
    <mergeCell ref="L9:O9"/>
    <mergeCell ref="L11:O11"/>
    <mergeCell ref="L13:O13"/>
    <mergeCell ref="L15:O15"/>
    <mergeCell ref="C13:D13"/>
    <mergeCell ref="F11:I11"/>
    <mergeCell ref="F13:I13"/>
    <mergeCell ref="B30:C30"/>
    <mergeCell ref="D30:G30"/>
    <mergeCell ref="J30:K30"/>
    <mergeCell ref="L30:M3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9"/>
  <sheetViews>
    <sheetView topLeftCell="B3" zoomScale="110" zoomScaleNormal="110" workbookViewId="0">
      <selection activeCell="C28" sqref="C28"/>
    </sheetView>
  </sheetViews>
  <sheetFormatPr baseColWidth="10" defaultColWidth="8.85546875" defaultRowHeight="15"/>
  <cols>
    <col min="1" max="1" width="4" style="17" customWidth="1"/>
    <col min="2" max="17" width="7.7109375" style="17" customWidth="1"/>
    <col min="18" max="18" width="4.5703125" style="17" customWidth="1"/>
    <col min="19" max="25" width="8.85546875" style="16"/>
    <col min="26" max="16384" width="8.85546875" style="17"/>
  </cols>
  <sheetData>
    <row r="1" spans="1:26">
      <c r="A1" s="367"/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</row>
    <row r="2" spans="1:26" ht="18" customHeight="1">
      <c r="A2" s="367"/>
      <c r="B2" s="370"/>
      <c r="C2" s="370"/>
      <c r="D2" s="370"/>
      <c r="E2" s="367"/>
      <c r="F2" s="367"/>
      <c r="G2" s="367"/>
      <c r="H2" s="367"/>
      <c r="I2" s="367"/>
      <c r="J2" s="367"/>
      <c r="K2" s="367"/>
      <c r="L2" s="367"/>
      <c r="M2" s="367"/>
      <c r="N2" s="367"/>
      <c r="O2" s="15"/>
      <c r="P2" s="15"/>
      <c r="Q2" s="103"/>
      <c r="R2" s="103"/>
    </row>
    <row r="3" spans="1:26" ht="13.9" customHeight="1" thickBot="1">
      <c r="A3" s="367"/>
      <c r="B3" s="367"/>
      <c r="C3" s="101"/>
      <c r="D3" s="367"/>
      <c r="E3" s="367"/>
      <c r="F3" s="367"/>
      <c r="G3" s="367"/>
      <c r="H3" s="367"/>
      <c r="I3" s="367"/>
      <c r="J3" s="367"/>
      <c r="K3" s="367"/>
      <c r="L3" s="101"/>
      <c r="M3" s="367"/>
      <c r="N3" s="367"/>
      <c r="O3" s="367"/>
      <c r="P3" s="367"/>
      <c r="Q3" s="367"/>
      <c r="R3" s="367"/>
    </row>
    <row r="4" spans="1:26" ht="13.9" customHeight="1">
      <c r="A4" s="367"/>
      <c r="B4" s="367"/>
      <c r="C4" s="758" t="s">
        <v>246</v>
      </c>
      <c r="D4" s="759"/>
      <c r="E4" s="759"/>
      <c r="F4" s="760"/>
      <c r="G4" s="15"/>
      <c r="H4" s="367"/>
      <c r="I4" s="15"/>
      <c r="J4" s="758" t="s">
        <v>247</v>
      </c>
      <c r="K4" s="759"/>
      <c r="L4" s="759"/>
      <c r="M4" s="760"/>
      <c r="N4" s="367"/>
      <c r="O4" s="15"/>
      <c r="P4" s="15"/>
      <c r="Q4" s="367"/>
      <c r="R4" s="367"/>
      <c r="Z4" s="16"/>
    </row>
    <row r="5" spans="1:26" ht="13.9" customHeight="1">
      <c r="A5" s="367"/>
      <c r="B5" s="367"/>
      <c r="C5" s="761"/>
      <c r="D5" s="762"/>
      <c r="E5" s="762"/>
      <c r="F5" s="763"/>
      <c r="G5" s="15"/>
      <c r="H5" s="15"/>
      <c r="I5" s="15"/>
      <c r="J5" s="761"/>
      <c r="K5" s="762"/>
      <c r="L5" s="762"/>
      <c r="M5" s="763"/>
      <c r="N5" s="367"/>
      <c r="O5" s="15"/>
      <c r="P5" s="15"/>
      <c r="Q5" s="367"/>
      <c r="R5" s="367"/>
      <c r="Z5" s="16"/>
    </row>
    <row r="6" spans="1:26" ht="13.9" customHeight="1">
      <c r="A6" s="367"/>
      <c r="B6" s="367"/>
      <c r="C6" s="761"/>
      <c r="D6" s="762"/>
      <c r="E6" s="762"/>
      <c r="F6" s="763"/>
      <c r="G6" s="15"/>
      <c r="H6" s="15"/>
      <c r="I6" s="15"/>
      <c r="J6" s="761"/>
      <c r="K6" s="762"/>
      <c r="L6" s="762"/>
      <c r="M6" s="763"/>
      <c r="N6" s="367"/>
      <c r="O6" s="15"/>
      <c r="P6" s="15"/>
      <c r="Q6" s="367"/>
      <c r="R6" s="367"/>
      <c r="V6" s="77"/>
      <c r="W6" s="77"/>
      <c r="Z6" s="16"/>
    </row>
    <row r="7" spans="1:26" ht="13.9" customHeight="1">
      <c r="A7" s="367"/>
      <c r="B7" s="367"/>
      <c r="C7" s="761"/>
      <c r="D7" s="762"/>
      <c r="E7" s="762"/>
      <c r="F7" s="763"/>
      <c r="G7" s="15"/>
      <c r="H7" s="15"/>
      <c r="I7" s="15"/>
      <c r="J7" s="761"/>
      <c r="K7" s="762"/>
      <c r="L7" s="762"/>
      <c r="M7" s="763"/>
      <c r="N7" s="367"/>
      <c r="O7" s="15"/>
      <c r="P7" s="15"/>
      <c r="Q7" s="367"/>
      <c r="R7" s="367"/>
      <c r="V7" s="77"/>
      <c r="W7" s="77"/>
      <c r="Z7" s="16"/>
    </row>
    <row r="8" spans="1:26" ht="13.9" customHeight="1">
      <c r="A8" s="367"/>
      <c r="B8" s="351"/>
      <c r="C8" s="761"/>
      <c r="D8" s="762"/>
      <c r="E8" s="762"/>
      <c r="F8" s="763"/>
      <c r="G8" s="371"/>
      <c r="H8" s="354"/>
      <c r="I8" s="371"/>
      <c r="J8" s="761"/>
      <c r="K8" s="762"/>
      <c r="L8" s="762"/>
      <c r="M8" s="763"/>
      <c r="N8" s="351"/>
      <c r="O8" s="371"/>
      <c r="P8" s="371"/>
      <c r="Q8" s="367"/>
      <c r="R8" s="367"/>
      <c r="V8" s="77"/>
      <c r="W8" s="77"/>
      <c r="Z8" s="16"/>
    </row>
    <row r="9" spans="1:26" ht="13.9" customHeight="1">
      <c r="A9" s="367"/>
      <c r="B9" s="367"/>
      <c r="C9" s="761"/>
      <c r="D9" s="762"/>
      <c r="E9" s="762"/>
      <c r="F9" s="763"/>
      <c r="G9" s="15"/>
      <c r="H9" s="15"/>
      <c r="I9" s="367"/>
      <c r="J9" s="761"/>
      <c r="K9" s="762"/>
      <c r="L9" s="762"/>
      <c r="M9" s="763"/>
      <c r="N9" s="367"/>
      <c r="O9" s="372"/>
      <c r="P9" s="368"/>
      <c r="Q9" s="367"/>
      <c r="R9" s="367"/>
      <c r="V9" s="77"/>
      <c r="W9" s="77"/>
      <c r="Z9" s="16"/>
    </row>
    <row r="10" spans="1:26" ht="23.45" customHeight="1" thickBot="1">
      <c r="A10" s="367"/>
      <c r="B10" s="367"/>
      <c r="C10" s="764"/>
      <c r="D10" s="765"/>
      <c r="E10" s="765"/>
      <c r="F10" s="766"/>
      <c r="G10" s="367"/>
      <c r="H10" s="367"/>
      <c r="I10" s="367"/>
      <c r="J10" s="764"/>
      <c r="K10" s="765"/>
      <c r="L10" s="765"/>
      <c r="M10" s="766"/>
      <c r="N10" s="367"/>
      <c r="O10" s="367"/>
      <c r="P10" s="367"/>
      <c r="Q10" s="367"/>
      <c r="R10" s="367"/>
      <c r="V10" s="373"/>
      <c r="W10" s="373"/>
      <c r="Z10" s="16"/>
    </row>
    <row r="11" spans="1:26" ht="13.9" customHeight="1">
      <c r="A11" s="367"/>
      <c r="B11" s="367"/>
      <c r="C11" s="101"/>
      <c r="D11" s="367"/>
      <c r="E11" s="367"/>
      <c r="F11" s="367"/>
      <c r="G11" s="367"/>
      <c r="H11" s="367"/>
      <c r="I11" s="367"/>
      <c r="J11" s="367"/>
      <c r="K11" s="367"/>
      <c r="L11" s="101"/>
      <c r="M11" s="367"/>
      <c r="N11" s="367"/>
      <c r="O11" s="367"/>
      <c r="P11" s="367"/>
      <c r="Q11" s="367"/>
      <c r="R11" s="367"/>
      <c r="V11" s="373"/>
      <c r="W11" s="373"/>
      <c r="Z11" s="16"/>
    </row>
    <row r="12" spans="1:26" ht="13.9" customHeight="1">
      <c r="A12" s="367"/>
      <c r="B12" s="367"/>
      <c r="C12" s="15"/>
      <c r="D12" s="15"/>
      <c r="E12" s="367"/>
      <c r="F12" s="15"/>
      <c r="G12" s="15"/>
      <c r="H12" s="367"/>
      <c r="I12" s="15"/>
      <c r="J12" s="15"/>
      <c r="K12" s="367"/>
      <c r="L12" s="15"/>
      <c r="M12" s="15"/>
      <c r="N12" s="367"/>
      <c r="O12" s="15"/>
      <c r="P12" s="15"/>
      <c r="Q12" s="367"/>
      <c r="R12" s="367"/>
      <c r="Z12" s="16"/>
    </row>
    <row r="13" spans="1:26" ht="13.9" customHeight="1" thickBot="1">
      <c r="A13" s="367"/>
      <c r="B13" s="367"/>
      <c r="C13" s="15"/>
      <c r="D13" s="15"/>
      <c r="E13" s="367"/>
      <c r="F13" s="15"/>
      <c r="G13" s="15"/>
      <c r="H13" s="15"/>
      <c r="I13" s="15"/>
      <c r="J13" s="15"/>
      <c r="K13" s="367"/>
      <c r="L13" s="15"/>
      <c r="M13" s="15"/>
      <c r="N13" s="367"/>
      <c r="O13" s="15"/>
      <c r="P13" s="15"/>
      <c r="Q13" s="367"/>
      <c r="R13" s="367"/>
      <c r="Z13" s="16"/>
    </row>
    <row r="14" spans="1:26" ht="13.9" customHeight="1">
      <c r="A14" s="367"/>
      <c r="B14" s="367"/>
      <c r="C14" s="758" t="s">
        <v>248</v>
      </c>
      <c r="D14" s="759"/>
      <c r="E14" s="759"/>
      <c r="F14" s="760"/>
      <c r="G14" s="15"/>
      <c r="H14" s="15"/>
      <c r="I14" s="15"/>
      <c r="J14" s="758" t="s">
        <v>249</v>
      </c>
      <c r="K14" s="759"/>
      <c r="L14" s="759"/>
      <c r="M14" s="760"/>
      <c r="N14" s="367"/>
      <c r="O14" s="15"/>
      <c r="P14" s="15"/>
      <c r="Q14" s="367"/>
      <c r="R14" s="367"/>
      <c r="Z14" s="16"/>
    </row>
    <row r="15" spans="1:26" ht="13.9" customHeight="1">
      <c r="A15" s="367"/>
      <c r="B15" s="367"/>
      <c r="C15" s="761"/>
      <c r="D15" s="762"/>
      <c r="E15" s="762"/>
      <c r="F15" s="763"/>
      <c r="G15" s="15"/>
      <c r="H15" s="15"/>
      <c r="I15" s="15"/>
      <c r="J15" s="761"/>
      <c r="K15" s="762"/>
      <c r="L15" s="762"/>
      <c r="M15" s="763"/>
      <c r="N15" s="367"/>
      <c r="O15" s="15"/>
      <c r="P15" s="15"/>
      <c r="Q15" s="367"/>
      <c r="R15" s="367"/>
      <c r="Z15" s="16"/>
    </row>
    <row r="16" spans="1:26" ht="13.9" customHeight="1">
      <c r="A16" s="367"/>
      <c r="B16" s="351"/>
      <c r="C16" s="761"/>
      <c r="D16" s="762"/>
      <c r="E16" s="762"/>
      <c r="F16" s="763"/>
      <c r="G16" s="371"/>
      <c r="H16" s="354"/>
      <c r="I16" s="371"/>
      <c r="J16" s="761"/>
      <c r="K16" s="762"/>
      <c r="L16" s="762"/>
      <c r="M16" s="763"/>
      <c r="N16" s="351"/>
      <c r="O16" s="343"/>
      <c r="P16" s="343"/>
      <c r="Q16" s="367"/>
      <c r="R16" s="367"/>
      <c r="Z16" s="16"/>
    </row>
    <row r="17" spans="1:26" ht="13.9" customHeight="1">
      <c r="A17" s="367"/>
      <c r="B17" s="351"/>
      <c r="C17" s="761"/>
      <c r="D17" s="762"/>
      <c r="E17" s="762"/>
      <c r="F17" s="763"/>
      <c r="G17" s="371"/>
      <c r="H17" s="354"/>
      <c r="I17" s="371"/>
      <c r="J17" s="761"/>
      <c r="K17" s="762"/>
      <c r="L17" s="762"/>
      <c r="M17" s="763"/>
      <c r="N17" s="351"/>
      <c r="O17" s="343"/>
      <c r="P17" s="343"/>
      <c r="Q17" s="367"/>
      <c r="R17" s="367"/>
      <c r="Z17" s="16"/>
    </row>
    <row r="18" spans="1:26" ht="25.9" customHeight="1">
      <c r="A18" s="367"/>
      <c r="B18" s="367"/>
      <c r="C18" s="761"/>
      <c r="D18" s="762"/>
      <c r="E18" s="762"/>
      <c r="F18" s="763"/>
      <c r="G18" s="367"/>
      <c r="H18" s="367"/>
      <c r="I18" s="367"/>
      <c r="J18" s="761"/>
      <c r="K18" s="762"/>
      <c r="L18" s="762"/>
      <c r="M18" s="763"/>
      <c r="N18" s="367"/>
      <c r="O18" s="367"/>
      <c r="P18" s="367"/>
      <c r="Q18" s="367"/>
      <c r="R18" s="367"/>
      <c r="Z18" s="16"/>
    </row>
    <row r="19" spans="1:26" ht="14.45" customHeight="1">
      <c r="A19" s="367"/>
      <c r="B19" s="367"/>
      <c r="C19" s="761"/>
      <c r="D19" s="762"/>
      <c r="E19" s="762"/>
      <c r="F19" s="763"/>
      <c r="G19" s="367"/>
      <c r="H19" s="367"/>
      <c r="I19" s="367"/>
      <c r="J19" s="761"/>
      <c r="K19" s="762"/>
      <c r="L19" s="762"/>
      <c r="M19" s="763"/>
      <c r="N19" s="367"/>
      <c r="O19" s="367"/>
      <c r="P19" s="367"/>
      <c r="Q19" s="367"/>
      <c r="R19" s="367"/>
      <c r="Z19" s="16"/>
    </row>
    <row r="20" spans="1:26" ht="14.45" customHeight="1" thickBot="1">
      <c r="A20" s="367"/>
      <c r="B20" s="367"/>
      <c r="C20" s="764"/>
      <c r="D20" s="765"/>
      <c r="E20" s="765"/>
      <c r="F20" s="766"/>
      <c r="G20" s="15"/>
      <c r="H20" s="367"/>
      <c r="I20" s="15"/>
      <c r="J20" s="764"/>
      <c r="K20" s="765"/>
      <c r="L20" s="765"/>
      <c r="M20" s="766"/>
      <c r="N20" s="367"/>
      <c r="O20" s="367"/>
      <c r="P20" s="367"/>
      <c r="Q20" s="367"/>
      <c r="R20" s="367"/>
      <c r="Z20" s="16"/>
    </row>
    <row r="21" spans="1:26" ht="14.45" customHeight="1">
      <c r="A21" s="367"/>
      <c r="B21" s="367"/>
      <c r="C21" s="15"/>
      <c r="D21" s="15"/>
      <c r="E21" s="367"/>
      <c r="F21" s="15"/>
      <c r="G21" s="15"/>
      <c r="H21" s="425"/>
      <c r="I21" s="15"/>
      <c r="J21" s="15"/>
      <c r="K21" s="367"/>
      <c r="L21" s="15"/>
      <c r="M21" s="15"/>
      <c r="N21" s="367"/>
      <c r="O21" s="367"/>
      <c r="P21" s="367"/>
      <c r="Q21" s="367"/>
      <c r="R21" s="367"/>
      <c r="Z21" s="16"/>
    </row>
    <row r="22" spans="1:26" ht="15" customHeight="1">
      <c r="A22" s="367"/>
      <c r="B22" s="367"/>
      <c r="C22" s="15"/>
      <c r="D22" s="15"/>
      <c r="E22" s="367"/>
      <c r="F22" s="15"/>
      <c r="G22" s="15"/>
      <c r="H22" s="367"/>
      <c r="I22" s="15"/>
      <c r="J22" s="15"/>
      <c r="K22" s="367"/>
      <c r="L22" s="15"/>
      <c r="M22" s="15"/>
      <c r="N22" s="367"/>
      <c r="O22" s="367"/>
      <c r="P22" s="367"/>
      <c r="Q22" s="367"/>
      <c r="R22" s="367"/>
      <c r="Z22" s="16"/>
    </row>
    <row r="23" spans="1:26">
      <c r="A23" s="367"/>
      <c r="B23" s="367"/>
      <c r="C23" s="15"/>
      <c r="D23" s="15"/>
      <c r="E23" s="367"/>
      <c r="F23" s="15"/>
      <c r="G23" s="15"/>
      <c r="H23" s="367"/>
      <c r="I23" s="15"/>
      <c r="J23" s="15"/>
      <c r="K23" s="367"/>
      <c r="L23" s="15"/>
      <c r="M23" s="15"/>
      <c r="N23" s="367"/>
      <c r="O23" s="367"/>
      <c r="P23" s="367"/>
      <c r="Q23" s="367"/>
      <c r="R23" s="367"/>
      <c r="Z23" s="16"/>
    </row>
    <row r="24" spans="1:26" ht="15" customHeight="1">
      <c r="A24" s="367"/>
      <c r="B24" s="367"/>
      <c r="C24" s="371"/>
      <c r="D24" s="371"/>
      <c r="E24" s="351"/>
      <c r="F24" s="343"/>
      <c r="G24" s="343"/>
      <c r="H24" s="367"/>
      <c r="I24" s="343"/>
      <c r="J24" s="343"/>
      <c r="K24" s="367"/>
      <c r="L24" s="343"/>
      <c r="M24" s="343"/>
      <c r="N24" s="367"/>
      <c r="O24" s="367"/>
      <c r="P24" s="367"/>
      <c r="Q24" s="367"/>
      <c r="R24" s="367"/>
      <c r="Z24" s="16"/>
    </row>
    <row r="25" spans="1:26" ht="15" customHeight="1">
      <c r="A25" s="367"/>
      <c r="B25" s="367"/>
      <c r="C25" s="371"/>
      <c r="D25" s="371"/>
      <c r="E25" s="351"/>
      <c r="F25" s="343"/>
      <c r="G25" s="343"/>
      <c r="H25" s="367"/>
      <c r="I25" s="343"/>
      <c r="J25" s="343"/>
      <c r="K25" s="367"/>
      <c r="L25" s="343"/>
      <c r="M25" s="343"/>
      <c r="N25" s="367"/>
      <c r="O25" s="367"/>
      <c r="P25" s="367"/>
      <c r="Q25" s="367"/>
      <c r="R25" s="367"/>
      <c r="Z25" s="16"/>
    </row>
    <row r="26" spans="1:26">
      <c r="A26" s="367"/>
      <c r="B26" s="367"/>
      <c r="C26" s="367"/>
      <c r="D26" s="367"/>
      <c r="E26" s="367"/>
      <c r="F26" s="367"/>
      <c r="G26" s="367"/>
      <c r="H26" s="367"/>
      <c r="I26" s="367"/>
      <c r="J26" s="367"/>
      <c r="K26" s="367"/>
      <c r="L26" s="367"/>
      <c r="M26" s="367"/>
      <c r="N26" s="367"/>
      <c r="O26" s="367"/>
      <c r="P26" s="367"/>
      <c r="Q26" s="367"/>
      <c r="R26" s="367"/>
      <c r="Z26" s="16"/>
    </row>
    <row r="27" spans="1:26">
      <c r="A27" s="367"/>
      <c r="B27" s="367"/>
      <c r="C27" s="367"/>
      <c r="D27" s="367"/>
      <c r="E27" s="367"/>
      <c r="F27" s="367"/>
      <c r="G27" s="367"/>
      <c r="H27" s="367"/>
      <c r="I27" s="367"/>
      <c r="J27" s="367"/>
      <c r="K27" s="367"/>
      <c r="L27" s="367"/>
      <c r="M27" s="367"/>
      <c r="N27" s="367"/>
      <c r="O27" s="367"/>
      <c r="P27" s="367"/>
      <c r="Q27" s="367"/>
      <c r="R27" s="367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Z29" s="16"/>
    </row>
    <row r="30" spans="1:26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26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26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1:18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1:18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1:18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</row>
    <row r="37" spans="1:18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</row>
    <row r="38" spans="1:1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</row>
    <row r="39" spans="1:18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</row>
  </sheetData>
  <mergeCells count="4">
    <mergeCell ref="C4:F10"/>
    <mergeCell ref="J4:M10"/>
    <mergeCell ref="C14:F20"/>
    <mergeCell ref="J14:M20"/>
  </mergeCells>
  <hyperlinks>
    <hyperlink ref="C4:F10" location="Selection!A1" display="Selection!A1"/>
    <hyperlink ref="J4:M10" location="'Safety report'!A1" display="'Safety report'!A1"/>
    <hyperlink ref="J14:M20" location="'Custom report '!A1" display="'Custom report '!A1"/>
    <hyperlink ref="C14:F20" location="'Maintenance report'!A1" display="'Maintenance report'!A1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33</vt:i4>
      </vt:variant>
      <vt:variant>
        <vt:lpstr>Rangos con nombre</vt:lpstr>
      </vt:variant>
      <vt:variant>
        <vt:i4>5</vt:i4>
      </vt:variant>
    </vt:vector>
  </HeadingPairs>
  <TitlesOfParts>
    <vt:vector size="38" baseType="lpstr">
      <vt:lpstr>Structure</vt:lpstr>
      <vt:lpstr>Summary id</vt:lpstr>
      <vt:lpstr>TBi advise</vt:lpstr>
      <vt:lpstr>Summary v5</vt:lpstr>
      <vt:lpstr>Chart</vt:lpstr>
      <vt:lpstr>Sheet1</vt:lpstr>
      <vt:lpstr>TBi</vt:lpstr>
      <vt:lpstr>Project </vt:lpstr>
      <vt:lpstr>Intro</vt:lpstr>
      <vt:lpstr>Selection</vt:lpstr>
      <vt:lpstr>Safety report</vt:lpstr>
      <vt:lpstr>Maintenance report</vt:lpstr>
      <vt:lpstr>basic report </vt:lpstr>
      <vt:lpstr>Surface</vt:lpstr>
      <vt:lpstr>Pipe</vt:lpstr>
      <vt:lpstr>Flange</vt:lpstr>
      <vt:lpstr>Valve</vt:lpstr>
      <vt:lpstr>Unknow surface</vt:lpstr>
      <vt:lpstr>I Surface</vt:lpstr>
      <vt:lpstr>I Pipe</vt:lpstr>
      <vt:lpstr>I surface cold</vt:lpstr>
      <vt:lpstr>I pipe cold</vt:lpstr>
      <vt:lpstr>Insulated Unknown surface</vt:lpstr>
      <vt:lpstr>Cold Insulated</vt:lpstr>
      <vt:lpstr>Damaged</vt:lpstr>
      <vt:lpstr>Energy</vt:lpstr>
      <vt:lpstr>Condensation</vt:lpstr>
      <vt:lpstr>Leakage</vt:lpstr>
      <vt:lpstr>Summary default values </vt:lpstr>
      <vt:lpstr>Default values </vt:lpstr>
      <vt:lpstr>Warning list </vt:lpstr>
      <vt:lpstr>todo</vt:lpstr>
      <vt:lpstr>Andreas</vt:lpstr>
      <vt:lpstr>_3000_hours</vt:lpstr>
      <vt:lpstr>emissivity</vt:lpstr>
      <vt:lpstr>operational_time</vt:lpstr>
      <vt:lpstr>Safety_risk</vt:lpstr>
      <vt:lpstr>Surface_emisivity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lulobru</dc:creator>
  <cp:lastModifiedBy>Usuario de Windows</cp:lastModifiedBy>
  <dcterms:created xsi:type="dcterms:W3CDTF">2018-02-27T08:07:49Z</dcterms:created>
  <dcterms:modified xsi:type="dcterms:W3CDTF">2019-03-10T22:09:58Z</dcterms:modified>
</cp:coreProperties>
</file>