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phpulcha/Google Drive/VL Summer projects/Meta-analysis Review Draft/Proofs/"/>
    </mc:Choice>
  </mc:AlternateContent>
  <xr:revisionPtr revIDLastSave="0" documentId="13_ncr:1_{A4477F4B-68F4-774A-9ED0-3DA19057A2AC}" xr6:coauthVersionLast="40" xr6:coauthVersionMax="40" xr10:uidLastSave="{00000000-0000-0000-0000-000000000000}"/>
  <bookViews>
    <workbookView xWindow="0" yWindow="460" windowWidth="25600" windowHeight="14560" xr2:uid="{00000000-000D-0000-FFFF-FFFF00000000}"/>
  </bookViews>
  <sheets>
    <sheet name="Sheet1" sheetId="1" r:id="rId1"/>
  </sheets>
  <calcPr calcId="191029"/>
</workbook>
</file>

<file path=xl/calcChain.xml><?xml version="1.0" encoding="utf-8"?>
<calcChain xmlns="http://schemas.openxmlformats.org/spreadsheetml/2006/main">
  <c r="BG41" i="1" l="1"/>
  <c r="BK41" i="1" s="1"/>
  <c r="AY41" i="1"/>
  <c r="BC41" i="1" s="1"/>
  <c r="AQ41" i="1"/>
  <c r="AU41" i="1" s="1"/>
  <c r="U41" i="1"/>
  <c r="CI40" i="1"/>
  <c r="CA40" i="1"/>
  <c r="BS40" i="1"/>
  <c r="BK40" i="1"/>
  <c r="BC40" i="1"/>
  <c r="AU40" i="1"/>
  <c r="U40" i="1"/>
  <c r="CI39" i="1"/>
  <c r="CA39" i="1"/>
  <c r="BS39" i="1"/>
  <c r="BK39" i="1"/>
  <c r="BC39" i="1"/>
  <c r="AU39" i="1"/>
  <c r="U39" i="1"/>
  <c r="CI38" i="1"/>
  <c r="CA38" i="1"/>
  <c r="BS38" i="1"/>
  <c r="BK38" i="1"/>
  <c r="BC38" i="1"/>
  <c r="AU38" i="1"/>
  <c r="U38" i="1"/>
  <c r="CI37" i="1"/>
  <c r="CA37" i="1"/>
  <c r="BS37" i="1"/>
  <c r="BK37" i="1"/>
  <c r="BC37" i="1"/>
  <c r="AU37" i="1"/>
  <c r="BZ36" i="1"/>
  <c r="CA36" i="1" s="1"/>
  <c r="BR36" i="1"/>
  <c r="BS36" i="1" s="1"/>
  <c r="BJ36" i="1"/>
  <c r="BK36" i="1" s="1"/>
  <c r="BB36" i="1"/>
  <c r="BC36" i="1" s="1"/>
  <c r="AT36" i="1"/>
  <c r="AU36" i="1" s="1"/>
  <c r="R36" i="1"/>
  <c r="U36" i="1" s="1"/>
  <c r="O36" i="1"/>
  <c r="T35" i="1"/>
  <c r="DG34" i="1"/>
  <c r="CY34" i="1"/>
  <c r="CQ34" i="1"/>
  <c r="CI34" i="1"/>
  <c r="CA34" i="1"/>
  <c r="BS34" i="1"/>
  <c r="BK34" i="1"/>
  <c r="BC34" i="1"/>
  <c r="AU34" i="1"/>
  <c r="R34" i="1"/>
  <c r="U34" i="1" s="1"/>
  <c r="CY33" i="1"/>
  <c r="CQ33" i="1"/>
  <c r="CI33" i="1"/>
  <c r="CA33" i="1"/>
  <c r="BS33" i="1"/>
  <c r="BK33" i="1"/>
  <c r="BC33" i="1"/>
  <c r="AU33" i="1"/>
  <c r="U33" i="1"/>
  <c r="P32" i="1"/>
  <c r="U32" i="1" s="1"/>
  <c r="AY31" i="1"/>
  <c r="AT31" i="1"/>
  <c r="AQ31" i="1"/>
  <c r="O31" i="1"/>
  <c r="U30" i="1"/>
  <c r="BY29" i="1"/>
  <c r="BV29" i="1"/>
  <c r="BN29" i="1"/>
  <c r="BQ29" i="1" s="1"/>
  <c r="BF29" i="1"/>
  <c r="BI29" i="1" s="1"/>
  <c r="AX29" i="1"/>
  <c r="BA29" i="1" s="1"/>
  <c r="AP29" i="1"/>
  <c r="AS29" i="1" s="1"/>
  <c r="U29" i="1"/>
  <c r="T29" i="1"/>
  <c r="P28" i="1"/>
  <c r="P27" i="1"/>
  <c r="CI26" i="1"/>
  <c r="CA26" i="1"/>
  <c r="BS26" i="1"/>
  <c r="BK26" i="1"/>
  <c r="BC26" i="1"/>
  <c r="AU26" i="1"/>
  <c r="U26" i="1"/>
  <c r="CI25" i="1"/>
  <c r="CA25" i="1"/>
  <c r="BS25" i="1"/>
  <c r="BK25" i="1"/>
  <c r="BC25" i="1"/>
  <c r="AU25" i="1"/>
  <c r="U25" i="1"/>
  <c r="CA24" i="1"/>
  <c r="BS24" i="1"/>
  <c r="BK24" i="1"/>
  <c r="BC24" i="1"/>
  <c r="AU24" i="1"/>
  <c r="U24" i="1"/>
  <c r="O22" i="1"/>
  <c r="BK20" i="1"/>
  <c r="BC20" i="1"/>
  <c r="AU20" i="1"/>
  <c r="U20" i="1"/>
  <c r="BZ19" i="1"/>
  <c r="CA19" i="1" s="1"/>
  <c r="BR19" i="1"/>
  <c r="BS19" i="1" s="1"/>
  <c r="BJ19" i="1"/>
  <c r="BK19" i="1" s="1"/>
  <c r="AY19" i="1"/>
  <c r="BC19" i="1" s="1"/>
  <c r="P19" i="1"/>
  <c r="U19" i="1" s="1"/>
  <c r="N19" i="1"/>
  <c r="M19" i="1"/>
  <c r="P18" i="1"/>
  <c r="P17" i="1"/>
  <c r="S16" i="1"/>
  <c r="BQ16" i="1" s="1"/>
  <c r="CG15" i="1"/>
  <c r="BY15" i="1"/>
  <c r="BQ15" i="1"/>
  <c r="BI15" i="1"/>
  <c r="BA15" i="1"/>
  <c r="AS15" i="1"/>
  <c r="BI14" i="1"/>
  <c r="BA14" i="1"/>
  <c r="AS14" i="1"/>
  <c r="T14" i="1"/>
  <c r="O14" i="1"/>
  <c r="BS13" i="1"/>
  <c r="BK13" i="1"/>
  <c r="BC13" i="1"/>
  <c r="AU13" i="1"/>
  <c r="R13" i="1"/>
  <c r="U13" i="1" s="1"/>
  <c r="O13" i="1"/>
  <c r="BS12" i="1"/>
  <c r="BK12" i="1"/>
  <c r="BC12" i="1"/>
  <c r="AU12" i="1"/>
  <c r="R12" i="1"/>
  <c r="U12" i="1" s="1"/>
  <c r="O12" i="1"/>
  <c r="BS11" i="1"/>
  <c r="BK11" i="1"/>
  <c r="BC11" i="1"/>
  <c r="AU11" i="1"/>
  <c r="R11" i="1"/>
  <c r="U11" i="1" s="1"/>
  <c r="CQ10" i="1"/>
  <c r="CI10" i="1"/>
  <c r="CA10" i="1"/>
  <c r="BS10" i="1"/>
  <c r="BK10" i="1"/>
  <c r="BC10" i="1"/>
  <c r="AU10" i="1"/>
  <c r="U10" i="1"/>
  <c r="N10" i="1"/>
  <c r="CQ9" i="1"/>
  <c r="CI9" i="1"/>
  <c r="CA9" i="1"/>
  <c r="BS9" i="1"/>
  <c r="BK9" i="1"/>
  <c r="BC9" i="1"/>
  <c r="AU9" i="1"/>
  <c r="U9" i="1"/>
  <c r="N9" i="1"/>
  <c r="CQ8" i="1"/>
  <c r="CI8" i="1"/>
  <c r="CA8" i="1"/>
  <c r="BS8" i="1"/>
  <c r="BK8" i="1"/>
  <c r="BC8" i="1"/>
  <c r="AU8" i="1"/>
  <c r="U8" i="1"/>
  <c r="N8" i="1"/>
  <c r="CQ7" i="1"/>
  <c r="CI7" i="1"/>
  <c r="CA7" i="1"/>
  <c r="BS7" i="1"/>
  <c r="BK7" i="1"/>
  <c r="BC7" i="1"/>
  <c r="AU7" i="1"/>
  <c r="U7" i="1"/>
  <c r="O7" i="1"/>
  <c r="CO6" i="1"/>
  <c r="CG6" i="1"/>
  <c r="BY6" i="1"/>
  <c r="BQ6" i="1"/>
  <c r="BI6" i="1"/>
  <c r="BA6" i="1"/>
  <c r="AS6" i="1"/>
  <c r="T6" i="1"/>
  <c r="BQ5" i="1"/>
  <c r="BI5" i="1"/>
  <c r="BA5" i="1"/>
  <c r="AS5" i="1"/>
  <c r="T5" i="1"/>
  <c r="O5" i="1"/>
  <c r="BQ4" i="1"/>
  <c r="BI4" i="1"/>
  <c r="BA4" i="1"/>
  <c r="AS4" i="1"/>
  <c r="CA3" i="1"/>
  <c r="BS3" i="1"/>
  <c r="BK3" i="1"/>
  <c r="BC3" i="1"/>
  <c r="AU3" i="1"/>
  <c r="U3" i="1"/>
  <c r="BS2" i="1"/>
  <c r="BK2" i="1"/>
  <c r="BC2" i="1"/>
  <c r="AU2" i="1"/>
  <c r="R2" i="1"/>
  <c r="U2" i="1" s="1"/>
  <c r="Q2" i="1"/>
  <c r="BA16" i="1" l="1"/>
  <c r="BY16" i="1"/>
  <c r="O19" i="1"/>
  <c r="CG16" i="1"/>
  <c r="AS16" i="1"/>
  <c r="CO16" i="1"/>
  <c r="BI16" i="1"/>
  <c r="T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Chapman, Lloyd</author>
  </authors>
  <commentList>
    <comment ref="T4" authorId="0" shapeId="0" xr:uid="{3303934D-3DD6-3E43-BC07-CEAE6DAD3F3E}">
      <text>
        <r>
          <rPr>
            <b/>
            <sz val="10"/>
            <color rgb="FF000000"/>
            <rFont val="Tahoma"/>
            <family val="2"/>
          </rPr>
          <t>Chapman, Lloyd:</t>
        </r>
        <r>
          <rPr>
            <sz val="10"/>
            <color rgb="FF000000"/>
            <rFont val="Tahoma"/>
            <family val="2"/>
          </rPr>
          <t xml:space="preserve">
</t>
        </r>
        <r>
          <rPr>
            <sz val="10"/>
            <color rgb="FF000000"/>
            <rFont val="Arial"/>
          </rPr>
          <t>This is worked out as 43cases/2203people/3yrs*1000 in the paper (for 2001 to 2004), but the incidence figures for each age group are worked out from all cases over 5yrs from 1999 to 2004</t>
        </r>
        <r>
          <rPr>
            <sz val="10"/>
            <color rgb="FF000000"/>
            <rFont val="Arial"/>
          </rPr>
          <t xml:space="preserve">
</t>
        </r>
      </text>
    </comment>
    <comment ref="Z7" authorId="0" shapeId="0" xr:uid="{E8A1FFF5-863C-594A-AD34-64015B7AE39D}">
      <text>
        <r>
          <rPr>
            <b/>
            <sz val="10"/>
            <color rgb="FF000000"/>
            <rFont val="Tahoma"/>
            <family val="2"/>
          </rPr>
          <t>Chapman, Lloyd:</t>
        </r>
        <r>
          <rPr>
            <sz val="10"/>
            <color rgb="FF000000"/>
            <rFont val="Tahoma"/>
            <family val="2"/>
          </rPr>
          <t xml:space="preserve">
</t>
        </r>
        <r>
          <rPr>
            <sz val="10"/>
            <color rgb="FF000000"/>
            <rFont val="Arial"/>
          </rPr>
          <t xml:space="preserve">Number in paper is 85 as 1 patient was counted as having active/untreated VL, as they were only treated a couple of weeks before LST was taken
</t>
        </r>
      </text>
    </comment>
    <comment ref="S15" authorId="0" shapeId="0" xr:uid="{B2C8C667-1522-8545-A7A1-743521DF0B78}">
      <text>
        <r>
          <rPr>
            <b/>
            <sz val="10"/>
            <color rgb="FF000000"/>
            <rFont val="Tahoma"/>
            <family val="2"/>
          </rPr>
          <t>Chapman, Lloyd:</t>
        </r>
        <r>
          <rPr>
            <sz val="10"/>
            <color rgb="FF000000"/>
            <rFont val="Tahoma"/>
            <family val="2"/>
          </rPr>
          <t xml:space="preserve">
</t>
        </r>
        <r>
          <rPr>
            <sz val="10"/>
            <color rgb="FF000000"/>
            <rFont val="Arial"/>
          </rPr>
          <t>3.5yrs since recall period for 1st survey in 2008 was 1.5yrs</t>
        </r>
        <r>
          <rPr>
            <sz val="10"/>
            <color rgb="FF000000"/>
            <rFont val="Arial"/>
          </rPr>
          <t xml:space="preserve">
</t>
        </r>
      </text>
    </comment>
    <comment ref="T16" authorId="0" shapeId="0" xr:uid="{CB6625B8-3176-0A4A-A98F-92E22EA3641A}">
      <text>
        <r>
          <rPr>
            <b/>
            <sz val="10"/>
            <color rgb="FF000000"/>
            <rFont val="Tahoma"/>
            <family val="2"/>
          </rPr>
          <t>Chapman, Lloyd:</t>
        </r>
        <r>
          <rPr>
            <sz val="10"/>
            <color rgb="FF000000"/>
            <rFont val="Tahoma"/>
            <family val="2"/>
          </rPr>
          <t xml:space="preserve">
</t>
        </r>
        <r>
          <rPr>
            <sz val="10"/>
            <color rgb="FF000000"/>
            <rFont val="Arial"/>
          </rPr>
          <t>Paper also says there were 144 VL cases in the population at risk from Mar 07 - Dec 09, which gives incidence of 144/19886/2.76*1000=2.62/1000/yr</t>
        </r>
        <r>
          <rPr>
            <sz val="10"/>
            <color rgb="FF000000"/>
            <rFont val="Arial"/>
          </rPr>
          <t xml:space="preserve">
</t>
        </r>
      </text>
    </comment>
    <comment ref="P17" authorId="0" shapeId="0" xr:uid="{DA0FEC93-1F5F-8844-866D-E4AD56E22D7A}">
      <text>
        <r>
          <rPr>
            <b/>
            <sz val="10"/>
            <color rgb="FF000000"/>
            <rFont val="Tahoma"/>
            <family val="2"/>
          </rPr>
          <t>Chapman, Lloyd:</t>
        </r>
        <r>
          <rPr>
            <sz val="10"/>
            <color rgb="FF000000"/>
            <rFont val="Tahoma"/>
            <family val="2"/>
          </rPr>
          <t xml:space="preserve">
</t>
        </r>
        <r>
          <rPr>
            <sz val="10"/>
            <color rgb="FF000000"/>
            <rFont val="Arial"/>
          </rPr>
          <t xml:space="preserve">Number given in paper (in Fig 1 &amp; 2 legends) for how many were tested is 12634, which  is 13163-118(Mar 07-Dec 09 VL cases)-411(pre-Mar 07 VL cases) (see Results p3), but this is not the same as the total of the last column in Table 1.
</t>
        </r>
      </text>
    </comment>
    <comment ref="P18" authorId="0" shapeId="0" xr:uid="{07B673B1-068C-B748-8FC9-B7C2CBAD9917}">
      <text>
        <r>
          <rPr>
            <b/>
            <sz val="10"/>
            <color rgb="FF000000"/>
            <rFont val="Tahoma"/>
            <family val="2"/>
          </rPr>
          <t>Chapman, Lloyd:</t>
        </r>
        <r>
          <rPr>
            <sz val="10"/>
            <color rgb="FF000000"/>
            <rFont val="Tahoma"/>
            <family val="2"/>
          </rPr>
          <t xml:space="preserve">
</t>
        </r>
        <r>
          <rPr>
            <sz val="10"/>
            <color rgb="FF000000"/>
            <rFont val="Arial"/>
          </rPr>
          <t xml:space="preserve">Number given in paper (in Fig 1 &amp; 2 legends) for how many were tested is 12634, which  is 13163-118(Mar 07-Dec 09 VL cases)-411(pre-Mar 07 VL cases) (see Results p3), but this is not the same as the total of the last column in Table 1.
</t>
        </r>
      </text>
    </comment>
    <comment ref="A22" authorId="0" shapeId="0" xr:uid="{6CC5D433-AFDE-9343-B782-BD5AE09F57C8}">
      <text>
        <r>
          <rPr>
            <b/>
            <sz val="10"/>
            <color rgb="FF000000"/>
            <rFont val="Tahoma"/>
            <family val="2"/>
          </rPr>
          <t>Chapman, Lloyd:</t>
        </r>
        <r>
          <rPr>
            <sz val="10"/>
            <color rgb="FF000000"/>
            <rFont val="Tahoma"/>
            <family val="2"/>
          </rPr>
          <t xml:space="preserve">
</t>
        </r>
        <r>
          <rPr>
            <sz val="10"/>
            <color rgb="FF000000"/>
            <rFont val="Arial"/>
          </rPr>
          <t>Essentially the same as data in row above</t>
        </r>
        <r>
          <rPr>
            <sz val="10"/>
            <color rgb="FF000000"/>
            <rFont val="Arial"/>
          </rPr>
          <t xml:space="preserve">
</t>
        </r>
      </text>
    </comment>
  </commentList>
</comments>
</file>

<file path=xl/sharedStrings.xml><?xml version="1.0" encoding="utf-8"?>
<sst xmlns="http://schemas.openxmlformats.org/spreadsheetml/2006/main" count="818" uniqueCount="346">
  <si>
    <t>Author</t>
  </si>
  <si>
    <t>Type</t>
  </si>
  <si>
    <t>Title</t>
  </si>
  <si>
    <t>StudyOrInstitution</t>
  </si>
  <si>
    <t>StartDate</t>
  </si>
  <si>
    <t>EndDate</t>
  </si>
  <si>
    <t>NumStudyYr</t>
  </si>
  <si>
    <t>Country</t>
  </si>
  <si>
    <t>State</t>
  </si>
  <si>
    <t>District</t>
  </si>
  <si>
    <t>Subdistrict</t>
  </si>
  <si>
    <t>NumVillages</t>
  </si>
  <si>
    <t>PopatRisk</t>
  </si>
  <si>
    <t>StudyPop</t>
  </si>
  <si>
    <t>TotExcluded</t>
  </si>
  <si>
    <t>SeroTest</t>
  </si>
  <si>
    <t>VLCase</t>
  </si>
  <si>
    <t>SeroPos</t>
  </si>
  <si>
    <t>NumYrVLInc</t>
  </si>
  <si>
    <t>VLIncPer1000PerYear</t>
  </si>
  <si>
    <t>SeroPosPrev</t>
  </si>
  <si>
    <t>TestDetail</t>
  </si>
  <si>
    <t>SeroTestInclClinVL</t>
  </si>
  <si>
    <t>NumSeroTestWithClinVL</t>
  </si>
  <si>
    <t>SeroTestInclPastVL</t>
  </si>
  <si>
    <t>NumSeroTestWithPastVL</t>
  </si>
  <si>
    <t>rK39ELISA</t>
  </si>
  <si>
    <t>CaseDefrK39ELISA</t>
  </si>
  <si>
    <t>ASMDefrK39ELISA</t>
  </si>
  <si>
    <t>rK39RDT</t>
  </si>
  <si>
    <t>CaseDefrK39</t>
  </si>
  <si>
    <t>ASMDefrK39</t>
  </si>
  <si>
    <t>LST</t>
  </si>
  <si>
    <t>DAT</t>
  </si>
  <si>
    <t>CaseDefDAT</t>
  </si>
  <si>
    <t>ASMDefDAT</t>
  </si>
  <si>
    <t>PCR</t>
  </si>
  <si>
    <t>CaseDefClinVL</t>
  </si>
  <si>
    <t>CaseDefASM</t>
  </si>
  <si>
    <t>Age1Low</t>
  </si>
  <si>
    <t>Age1High</t>
  </si>
  <si>
    <t>StudyPop1</t>
  </si>
  <si>
    <t>SeroTest1</t>
  </si>
  <si>
    <t>VLCase1</t>
  </si>
  <si>
    <t>VLInc1</t>
  </si>
  <si>
    <t>SeroPos1</t>
  </si>
  <si>
    <t>SeroPosPrev1</t>
  </si>
  <si>
    <t>Age2Low</t>
  </si>
  <si>
    <t>Age2High</t>
  </si>
  <si>
    <t>StudyPop2</t>
  </si>
  <si>
    <t>SeroTest2</t>
  </si>
  <si>
    <t>VLCase2</t>
  </si>
  <si>
    <t>VLInc2</t>
  </si>
  <si>
    <t>SeroPos2</t>
  </si>
  <si>
    <t>SeroPosPrev2</t>
  </si>
  <si>
    <t>Age3Low</t>
  </si>
  <si>
    <t>Age3High</t>
  </si>
  <si>
    <t>StudyPop3</t>
  </si>
  <si>
    <t>SeroTest3</t>
  </si>
  <si>
    <t>VLCase3</t>
  </si>
  <si>
    <t>VLInc3</t>
  </si>
  <si>
    <t>SeroPos3</t>
  </si>
  <si>
    <t>SeroPosPrev3</t>
  </si>
  <si>
    <t>Age4Low</t>
  </si>
  <si>
    <t>Age4High</t>
  </si>
  <si>
    <t>StudyPop4</t>
  </si>
  <si>
    <t>SeroTest4</t>
  </si>
  <si>
    <t>VLCase4</t>
  </si>
  <si>
    <t>VLInc4</t>
  </si>
  <si>
    <t>SeroPos4</t>
  </si>
  <si>
    <t>SeroPosPrev4</t>
  </si>
  <si>
    <t>Age5Low</t>
  </si>
  <si>
    <t>Age5High</t>
  </si>
  <si>
    <t>StudyPop5</t>
  </si>
  <si>
    <t>SeroTest5</t>
  </si>
  <si>
    <t>VLCase5</t>
  </si>
  <si>
    <t>VLInc5</t>
  </si>
  <si>
    <t>SeroPos5</t>
  </si>
  <si>
    <t>SeroPosPrev5</t>
  </si>
  <si>
    <t>Age6Low</t>
  </si>
  <si>
    <t>Age6High</t>
  </si>
  <si>
    <t>StudyPop6</t>
  </si>
  <si>
    <t>SeroTest6</t>
  </si>
  <si>
    <t>VLCase6</t>
  </si>
  <si>
    <t>VLInc6</t>
  </si>
  <si>
    <t>SeroPos6</t>
  </si>
  <si>
    <t>SeroPosPrev6</t>
  </si>
  <si>
    <t>Age7Low</t>
  </si>
  <si>
    <t>Age7High</t>
  </si>
  <si>
    <t>StudyPop7</t>
  </si>
  <si>
    <t>SeroTest7</t>
  </si>
  <si>
    <t>VLCase7</t>
  </si>
  <si>
    <t>VLInc7</t>
  </si>
  <si>
    <t>SeroPos7</t>
  </si>
  <si>
    <t>SeroPosPrev7</t>
  </si>
  <si>
    <t>Age8Low</t>
  </si>
  <si>
    <t>Age8High</t>
  </si>
  <si>
    <t>StudyPop8</t>
  </si>
  <si>
    <t>SeroTest8</t>
  </si>
  <si>
    <t>VLCase8</t>
  </si>
  <si>
    <t>VLInc8</t>
  </si>
  <si>
    <t>SeroPos8</t>
  </si>
  <si>
    <t>SeroPosPrev8</t>
  </si>
  <si>
    <t>Age9Low</t>
  </si>
  <si>
    <t>Age9High</t>
  </si>
  <si>
    <t>StudyPop9</t>
  </si>
  <si>
    <t>SeroTest9</t>
  </si>
  <si>
    <t>VLCase9</t>
  </si>
  <si>
    <t>VLInc9</t>
  </si>
  <si>
    <t>SeroPos9</t>
  </si>
  <si>
    <t>SeroPosPrev9</t>
  </si>
  <si>
    <t>Age10Low</t>
  </si>
  <si>
    <t>Age10High</t>
  </si>
  <si>
    <t>StudyPop10</t>
  </si>
  <si>
    <t>SeroTest10</t>
  </si>
  <si>
    <t>VLCase10</t>
  </si>
  <si>
    <t>VLInc10</t>
  </si>
  <si>
    <t>SeroPos10</t>
  </si>
  <si>
    <t>SeroPosPrev10</t>
  </si>
  <si>
    <t>Akter et al, 2012</t>
  </si>
  <si>
    <t>PREVALENCE (CLIN VL)</t>
  </si>
  <si>
    <t>Seroepidemiological study of visceral leishmaniasis and cattle as a possible reservoir host at Trishal Upazila in Bangladesh</t>
  </si>
  <si>
    <t>Bangladesh</t>
  </si>
  <si>
    <t>Mymensingh</t>
  </si>
  <si>
    <t>Trishal</t>
  </si>
  <si>
    <t>Cross-sectional study conducted over 3 surveys in Trishal upzaila, where ONLY individuals with VL-like symptoms were admitted into the study (differs from other studies in this spreadsheet where study populations were not filtered before admission). Therefore it can be assumed that individuals with a positive rK39 sero-diagnosis can be classified as ClinVL.</t>
  </si>
  <si>
    <t>Y</t>
  </si>
  <si>
    <t>362</t>
  </si>
  <si>
    <t>N</t>
  </si>
  <si>
    <t>Clinical VL: positive sero-diagnosis using rK39 RDT with symptoms of VL (which all individuals in this study had)</t>
  </si>
  <si>
    <t>Banu et al, 2016</t>
  </si>
  <si>
    <t>PREVALENCE</t>
  </si>
  <si>
    <t>Detection of Leishmania donovani in peripheral blood of asymptomatic individuals in contact with patients with visceral leishmaniasis</t>
  </si>
  <si>
    <t>Center for Infectious Diseases and Microbiology Laboratory Services (CIDMLS), Public Health fund and Endeavour Foundation, Australia (ID: 3039_2012)</t>
  </si>
  <si>
    <t>Mymensingh, Dhaka, Rajshahi</t>
  </si>
  <si>
    <t>Mymensingh, Tangail, Gazipur, Jamalpur, Pabna, Sirajganj, Shariatpur, Sherpur</t>
  </si>
  <si>
    <t>14 sub-districts and 5 metropolitan cities</t>
  </si>
  <si>
    <t>Cross-sectional study of 257 healthy contacts (208 (80.9%) family members and 49 (19.1%) adjacent neighbours) of 155 VL patients (diagnosed and treated at Surya Kanta Kala-azar Research Centre (SKKRC) in Mymensingh between May 2013 and May 2014), who were tested for anti-Leishmania antibodies using rK39 RDT, promastigote antigen ELISA, and indirect fluorescent antibody test (IFAT). 14.4% (37/257) were positive by rK39 ICT, 25.3% (65/257) by p-ELISA, 18.3% (47/257) by IFAT and 10.9% (28/257) by all three serological methods. Age-stratified results are only given for individuals who were positive by any of the serological tests.</t>
  </si>
  <si>
    <t>VL defined as positive result on parisitological test and clinical symptoms</t>
  </si>
  <si>
    <t>Positive rK39 RDT/ELISA/IFAT but No symptoms</t>
  </si>
  <si>
    <t>Barnett et al, 2005</t>
  </si>
  <si>
    <t>INCIDENCE</t>
  </si>
  <si>
    <t>Virgin Soil: The Spread of Visceral leishmaniasis into Uttar Pradesh, India</t>
  </si>
  <si>
    <t>India</t>
  </si>
  <si>
    <t>Uttar Pradesh</t>
  </si>
  <si>
    <t>Varanasi and Allahabad</t>
  </si>
  <si>
    <t>Cross-sectional survey which allowed for retrospective insight into the incidence of clinical VL cases between 2001-2004 (mainly) with additional insight into the age stratification of cases between 1999-2004. The tables in the article look at 1999-2004 data, with no information provided on age stratification in the main 2001-2004 study. 43 cases between 2001-2004 and 6 additional cases from 1999-2001. During this study, subclinical infection and post kala-azar dermal leishmaniasis were not ascertained or analysed - all VL cases were confirmed to be active and clinical due to presence of symptoms or bone marrow aspirates. VL incidence calculated by multiplying by 10 (percentage into incidence per 1000) and dividing by 5 (yrs)</t>
  </si>
  <si>
    <t>NA</t>
  </si>
  <si>
    <t>Confirmed VL case: illness characterized by at least 15 days of fever and splenomegaly and a positive rK39 dipstick result. Past confirmed VL: illness characterized by at least 15 days of fever and weight loss or splenomegaly that was treated with either sodium stibogluconate or amphotericin B with clinical resolution of symptoms, or with Leishmania amastigotes in bone marrow or splenic aspirate or tissue with documentation in medical records.</t>
  </si>
  <si>
    <t>Bern et al, 2005</t>
  </si>
  <si>
    <t>Risk Factors for Kala-Azar in Bangladesh</t>
  </si>
  <si>
    <t>CDC &amp; ICDDR-B</t>
  </si>
  <si>
    <t>Fulbaria</t>
  </si>
  <si>
    <t>Study included all members living in the study area for &gt;6 months in the 3 years before the 2002 survey. Cross-sectional survey in 2002 to determine retrospective cases of VL from 2000 onwards, from 2002-2003, all incident VL cases found were prospective. Retrospective analysis identified a number of individuals who died with a disease consistent with kala-azar and were included. 58 VL cases found before 2000 were excluded from the study.</t>
  </si>
  <si>
    <t>&gt;60 Concentration Units (CU) on the standard curve of dilutions of a pool of known positive sera, with the highest concentration on the curve corresponding to 1000CU</t>
  </si>
  <si>
    <t>Past KA case: &gt;2 weeks fever with at least one of: weight loss, abdominal fullness/pain, skin darkening. Current kala-azar cases defined using history and physical examination (symptoms as for past cases + splenomegaly/hepatomegaly, with or without measured fever/jaundice) and positive serologic test results. To confirm suspected kala-azar, rK39 ELISA and RDT were used.</t>
  </si>
  <si>
    <t>INCIDENCE (RAW DATA)</t>
  </si>
  <si>
    <t>-</t>
  </si>
  <si>
    <t>SAME AS ABOVE BUT INCLUDING RETROSPECTIVELY ASCERTAINED KA CASES BACK TO 1999 AND PROSPECTIVELY ASCERTAINED CASES TO JUNE 2004</t>
  </si>
  <si>
    <t>Bern et al, 2006</t>
  </si>
  <si>
    <t>PREVALENCE (LST)</t>
  </si>
  <si>
    <t>Loss of Leishmanin Skin Test antigen sensitivity and potency in a longitudinal study of visceral leishmaniasis in Bangladesh</t>
  </si>
  <si>
    <t>Longitudinal prospective incidence study, however baseline LST testing in 2002 was extracted for use in this analysis to calculate the prevalence. The baseline LST positivity was extremely high, with around 60% being LST positive in the eldest age groups. IMPORTANT - 15 individuals found during the study had clinical VL, however only 1 of these had a positive LST, therefore 1 of the positive cases is a clinical VL case. Only baseline testing was done by LST - incident cases of Clinical VL were detected using rK39 RDT or ELISA testing. ACTUAL NUMBERS FROM RAW DATA.</t>
  </si>
  <si>
    <t>1</t>
  </si>
  <si>
    <t>86</t>
  </si>
  <si>
    <t>Current case of kala-azar: 1) physical examination consistent with kala-azar (splenomegaly and/or hepatomegaly, with or without measured fever, evidence of weight loss, skin darkening, and/or jaundice), and 2) positive rK39 enzyme-linked immunosorbent assay result and/or rK39 dipstick test result (Inbios International, Seattle, WA), assays for IgG antibodies to Leishmania that have high sensitivity and good specificity for active kala-azar in South Asia. Past case of kala-azar: ≥ 2 weeks of fever, plus at least one of the following: weight loss, abdominal fullness, and/or skin darkening, with clinical improvement after anti-leishmanial treatment.</t>
  </si>
  <si>
    <t>Positive LST/rK39 RDT or ELISA but No symptoms.</t>
  </si>
  <si>
    <t>Bern et al, 2007</t>
  </si>
  <si>
    <t>PREVALENCE (rK39) (2002)</t>
  </si>
  <si>
    <t>The epidemiology of visceral leishmaniasis and asymptomatic leishmanial infection in a highly endemic Bangladesh village</t>
  </si>
  <si>
    <t>Longitudinal epidemiological study of VL and asymptomatic infection in Bangladeshi community with annual cross-sectional rK39 ELISA and LST testing. Results presented here are only for rK39 ELISA, as LST data for 2003 and 2004 were not published due to loss of leishmanin antigen sensitivity. AGE-STRATIFIED DATA PREVIOUSLY UNPUBLISHED. RESULTS FOR 2002 SURVEY.</t>
  </si>
  <si>
    <t>84</t>
  </si>
  <si>
    <t>Past KA case: ≥2 weeks fever + at least one of: weight loss, abdominal fullness, skin darkening, with clinical improvement after 20 days of intramuscular injections. Current KA case: same as past KA case + splenomegaly &amp;/ hepatomegaly with or without measured fever, weight loss, skin darkening or jaundice + positive on rK39 ELISA &amp;/ rK39 RDT.</t>
  </si>
  <si>
    <t>Positive rK39 ELISA with no symptoms of past/current KA</t>
  </si>
  <si>
    <t>PREVALENCE (rK39) (2003)</t>
  </si>
  <si>
    <t>AS ABOVE- RESULTS FOR 2003 SURVEY</t>
  </si>
  <si>
    <t>120</t>
  </si>
  <si>
    <t>Past KA case: ≥2 weeks fever + at least one of: weight loss, abdominal fullness, skin darkening, with clinical improvement after 20 days of intramuscular injections. Current KA case: same as past KA case + splenomegaly &amp;/ hepatomegaly with or without measured fever, weight loss, skin darkening or jaundice + positive on rK39 ELISA &amp;/ rK39 RDT.</t>
  </si>
  <si>
    <t>PREVALENCE (rK39) (2004)</t>
  </si>
  <si>
    <t>AS ABOVE- RESULTS FOR 2004 SURVEY</t>
  </si>
  <si>
    <t>136</t>
  </si>
  <si>
    <t>Past KA case: ≥2 weeks fever + at least one of: weight loss, abdominal fullness, skin darkening, with clinical improvement after 20 days of intramuscular injections. Current KA case: same as past KA case + splenomegaly &amp;/ hepatomegaly with or without measured fever, weight loss, skin darkening or jaundice + positive on rK39 ELISA &amp;/ rK39 RDT.</t>
  </si>
  <si>
    <t>Chowdhury et al, 1993</t>
  </si>
  <si>
    <t>PREVALENCE (CLIN VL + SEROPOS)</t>
  </si>
  <si>
    <t>Applicability of direct agglutination test (DAT) at a rural health setting in Bangladesh and feasibility of local antigen production.</t>
  </si>
  <si>
    <t>STCC-ISC</t>
  </si>
  <si>
    <t>Mymensingh (2)</t>
  </si>
  <si>
    <t>≥1:3200</t>
  </si>
  <si>
    <t>Clinical VL case: positive DAT and symptoms of Kala-azar.</t>
  </si>
  <si>
    <t>Positive DAT but No Symptoms</t>
  </si>
  <si>
    <t>Prevalence of agglutinating anti-Leishmania antibodies in two multi-thousand Bengoli communities</t>
  </si>
  <si>
    <t>Cross-sectional sero-study which looked at the number of 'sero-positive' cases. In terms of age stratification the study does not differentiate between those who were symptomatic for VL and those who we would classify in this study as sero-positive (asymptomatic and dormant cases). The study did give an overall number for the number of symptomatic people however the age-stratified numbers do not classify as an incidence or SeroPos prevalence study. This row is exclusively for the Mymengsingh district results as separate study populations were surveyed in different districts.</t>
  </si>
  <si>
    <t>Rajshahi</t>
  </si>
  <si>
    <t>Sirajganj</t>
  </si>
  <si>
    <t>Shahjadpur</t>
  </si>
  <si>
    <t>AS ABOVE - Sirajganj district results only.</t>
  </si>
  <si>
    <t>Ferdousi et al, 2012</t>
  </si>
  <si>
    <t>Visceral Leishmaniasis Eradication is a Reality: Data from a Community-based Active Surveillance in Bangladesh</t>
  </si>
  <si>
    <t>Kokui-Shitei-004</t>
  </si>
  <si>
    <t>A community-based active surveillance study conducted in 8 randomly selected villages over 2 years. 1550 mud-walled households were found in the 8 villages and included in the study. Study excluded individuals under 3 from active surveillance - the reason for the difference between PopAtRisk and StudyPop .</t>
  </si>
  <si>
    <t>Confirmed Clinical VL case:  ≥2 weeks fever and at least one of the following: splenomegaly, skin darkening, and/or weight loss; or with Leishmania amastigotes demonstrated in relevant aspirate or tissue, and/or a positive rK39 dipstick result./ Probable VL case: rK39 positive and VL signs and symptoms/ Suspected VL case: fever ≥2 weeks and splenomegaly</t>
  </si>
  <si>
    <t>Positive rK39 but no symptoms</t>
  </si>
  <si>
    <t>Hasker et al, 2012</t>
  </si>
  <si>
    <t>Visceral Leishmaniasis in Rural Bihar, India</t>
  </si>
  <si>
    <t>TMRC</t>
  </si>
  <si>
    <t>Bihar</t>
  </si>
  <si>
    <t>Muzaffarpur</t>
  </si>
  <si>
    <t>3 sero-surveys over 3 year period, history of VL was checked against medical records. Did not consider asymptomatic - many non-cases could be VL pos - Also did not use DAT cutoff</t>
  </si>
  <si>
    <t>Clinical VL: the combination of a clinical history typical for VL (fever of &gt;2 weeks’ duration, lack of response to antimalarial drug treatment), a positive result by the rK39 RDT and a good response to specific VL treatment, with or without confirmation of parasites</t>
  </si>
  <si>
    <t>Hasker et al, 2013</t>
  </si>
  <si>
    <t>Latent Infection with Leishmania donovani in Highly Endemic Villages in Bihar, India</t>
  </si>
  <si>
    <t xml:space="preserve">Data extracted from Hasker paper details a follow up on sero-converters from a previous 2007-2009 incidence study. Included is this meta-analysis is the results from the 2007-2009 incidence study, prevalence of asymptomatics at 2009 baseline using both DAT and rK39 stratification. </t>
  </si>
  <si>
    <t>OD&gt;14% of OD of positive control (VL case) (=mean OD for non-endemic healthy controls + 3 standard deviations)</t>
  </si>
  <si>
    <t>≥1:1600</t>
  </si>
  <si>
    <t>Positive ClinVL DAT/rK39 but No Symptoms</t>
  </si>
  <si>
    <t>PREVALENCE (DAT)</t>
  </si>
  <si>
    <t>AS ABOVE - Results for DAT from cross-sectional prevalence study.</t>
  </si>
  <si>
    <t>OD&gt;23% of OD of positive control (VL case) (=mean OD for endemic healthy controls + 3 standard deviations)</t>
  </si>
  <si>
    <t>Positive ASM DAT but No Symptoms</t>
  </si>
  <si>
    <t>PREVALENCE (rK39)</t>
  </si>
  <si>
    <t>AS ABOVE - Results for rK39 from cross-sectional prevalence study.</t>
  </si>
  <si>
    <t>Positive ASM rK39 but No Symptoms</t>
  </si>
  <si>
    <t>Koirala et al, 2004</t>
  </si>
  <si>
    <t>Epidemiological study of kala-azar by direct agglutination test in two rural communities of eastern Nepal</t>
  </si>
  <si>
    <t>BPKIHS</t>
  </si>
  <si>
    <t>Nepal</t>
  </si>
  <si>
    <t>Province No.1</t>
  </si>
  <si>
    <t>Morang</t>
  </si>
  <si>
    <t>Study was carried out in two villages selected due to the high incidence of disease in 1995 - Kasaini ward and Gidhaniya ward. Data given is on the prevalence of DAT positive individuals - all positives (DAT+), and parasitologically confirmed cases (DAT+/ BM+) considered to have active VL infection. 3 of the 47 DAT+/BM- individuals had VL symptoms and were clincally diagnosed with active VL, 23 had received treatment for VL within last year, 9/21 developed VL over 6-month follow-up. Paper claims the aldehyde test was still probably the most frequently used test for VL in district hospitals in Nepal at that time.</t>
  </si>
  <si>
    <t>3</t>
  </si>
  <si>
    <t>23</t>
  </si>
  <si>
    <t>≥1:2000</t>
  </si>
  <si>
    <t>DAT+/BM+ individuals with clinical symptoms were considered to be active VL cases. DAT+/BM- individuals who showed clinical symptoms were also considered to have active VL infection.</t>
  </si>
  <si>
    <t>For the sake of inclusion into this analysis, DAT+/BM- individuals were considered asymptomatic. However, it is important to note that 3 of the 47 individuals who fit this description were also clinically diagnosed as symptomatic VL cases.</t>
  </si>
  <si>
    <t>Kaushal et al, 2017</t>
  </si>
  <si>
    <t>PREVALENCE (qPCR)</t>
  </si>
  <si>
    <t>Serological and Molecular Analysis of Leishmania Infection in Healthy Individuals from Two Districts of West Bengal, India, Endemic for Visceral Leishmaniasis</t>
  </si>
  <si>
    <t>National Academy of Sciences, India</t>
  </si>
  <si>
    <t>West Bengal</t>
  </si>
  <si>
    <t>Malda and Murshidabad</t>
  </si>
  <si>
    <t>9 field visits with house-to-house surveys were made to different villages in Malda and Murshidabad (high-incidence districts 2011-2013) between Jan and Dec 2014. 2 individuals were excluded from study: 1 with active VL, 1 with PKDL. Blood samples were taken and rK39 RDTs performed on plasma and qPCR performed after DNA extraction. The age distribution of individuals with past VL is not provided so they cannot be excluded. N.B. RESULTS CONTAIN 2 INDIVIDUALS WHO WERE RDT+ BUT qPCR-</t>
  </si>
  <si>
    <t>Positive rK39 RDT and no history of VL</t>
  </si>
  <si>
    <t>Clinical symptoms, e.g. prolonged fever, splenomegaly, anaemia, and weight loss with positive serology and/or parasitological confirmation</t>
  </si>
  <si>
    <t>Healthy individuals positive by rK39 RDT (with no history of VL) and/or by qPCR assay</t>
  </si>
  <si>
    <t>Kumar et al, 1999</t>
  </si>
  <si>
    <t>Kala-azar epidemic in Varanasi district,
India</t>
  </si>
  <si>
    <t>DPGI-ND</t>
  </si>
  <si>
    <t>Varanasi</t>
  </si>
  <si>
    <t xml:space="preserve">Household survey carried out in one village in India - Pandit Ka Purva. All suspected cases found during the survey were referred to the local healthcare centre where they were parisitologically tested for VL. </t>
  </si>
  <si>
    <t>Patients were considered to be suffering from kala-azar if they had had fever (for more than 2 months) and hepatosplenomegaly. The presence of parasites in splenic and bone marrow aspirates was confirmed by culture and Giemsa staining.</t>
  </si>
  <si>
    <t>Kumar et al, 2006</t>
  </si>
  <si>
    <t>Sero-epidemiological study of kala-azar in a village of Varanasi district, India</t>
  </si>
  <si>
    <t xml:space="preserve">Cross sectional study that looked at the number of Clinical VL cases in a small village in Varanasi (Pandit Ka Purva), India. The main objective of the study was to evaluate the effectiveness of 5 serological tests, among which DAT and rK39 were present. Interestingly there was a large number of cases which were confirmed to be symptomatic VL, due to presentation of VL-like symptoms and a positive serological test. </t>
  </si>
  <si>
    <t>OD&gt;0.31 at 492nm (mean of negative control + 3SDs)</t>
  </si>
  <si>
    <t>≥1:800</t>
  </si>
  <si>
    <t xml:space="preserve">Case Definition for Clinical VL is the presence of parasites in bonemarrow or splenic aspirate smears. </t>
  </si>
  <si>
    <t>Nandy et al, 1987</t>
  </si>
  <si>
    <t>Leishmanin test survey in an endemic village of Indian kala-azar near Calcutta</t>
  </si>
  <si>
    <t>ICMR</t>
  </si>
  <si>
    <t>Kolkata/North 24-Parganas</t>
  </si>
  <si>
    <t xml:space="preserve">Cross-sectional study of 220 individuals in Peyara Bagan village near Kolkata (then in 24-Parganas district, I think now part of Kolkata district). There were 41 cured VL patients whose age was recorded. Although the age distribution of the population is given, the period of time over which the cases occurred is not given, so it is not possible to calculate the incidence rate.  </t>
  </si>
  <si>
    <t>Cross-sectional study of 220 individuals in Peyara Bagan village near Kolkata (then in 24-Parganas district, I think now part of Kolkata district). 150 individuals were tested with LST, including 25 of the 41 cured VL patients. 20 of the 25 VL cases with h/o VL 7mos-2yrs previously were LST+, and the LST-ves had VL &lt;10mos previously. The number of past VL cases LST tested in each age group is given, but not the number LST+ in each group, so the age-prevalence distribution of LST+vty amongst past VL cases cannot be calculated. Fig. 1 in paper shows distribution of LST+ves w/o past VL relative to VL cases in village, showing that most asymptomatic LST+ves either lived with, or were neighbours of, VL cases. Paper also discusses migration of people from VL-endemic Sundarbans to explain low LST+ rate and high attack rate in under-30s.</t>
  </si>
  <si>
    <t>Ostyn et al, 2015</t>
  </si>
  <si>
    <t>Transmission of Leishmania donovani in the Hills of Eastern Nepal, an Outbreak Investigation in Okhaldhunga and Bhojpur Districts</t>
  </si>
  <si>
    <t>Okhaldhunga and Bhojpur</t>
  </si>
  <si>
    <t>Part of a 13 year retrospective sero-prevalence study. Used DAT test and PCR during survey to identify those who still have anti-Leishmania antibodies. Data obtained from the 2014 sero-prevalence survey. Due to anti-Leishmania antibodies being present and no clinical VL cases reported during the study - it can be assumed that all sero-positive persons were asymptomatic. Results in this row are for individuals without previous VL. - Note: 'No active VL cases were found in the household survey'</t>
  </si>
  <si>
    <t>Current ClinVL case: fever for at least two weeks and positivity in a rapid diagnostic test for VL/ Past case of ClinVL: history of treatment for VL, corroborated by prescriptions and/or case records from the health facility</t>
  </si>
  <si>
    <t>PREVALENCE (past VL only)</t>
  </si>
  <si>
    <t>AS ABOVE - DAT results for past VL cases</t>
  </si>
  <si>
    <t>Current ClinVL case: fever for at least two weeks and positivity in a rapid diagnostic test for VL/ Past case of ClinVL: history of treatment for VL, corroborated by prescriptions and/or case records from the health facility</t>
  </si>
  <si>
    <t>Patil et al, 2013</t>
  </si>
  <si>
    <t>Immuno-epidemiology of leishmanial infection among tribal population in kala-azar endemic areas- A community based study</t>
  </si>
  <si>
    <t>Community Health Cell, Bangalore</t>
  </si>
  <si>
    <t>Jharkhand</t>
  </si>
  <si>
    <t>Pakur</t>
  </si>
  <si>
    <t>Litipara</t>
  </si>
  <si>
    <t>Cross-sectional study in four tribal villages in Litipara, Pakur district, Jharkhand looking at factors affecting DAT+tvty and LST+tvty and staging of infection using DAT and LST. Paper does not state whether active and past VL cases were included or not but seems likely both were from the description, and numbers of active/past VL cases are not given. DAT RESULTS ONLY</t>
  </si>
  <si>
    <t>AS ABOVE - LST RESULTS ONLY</t>
  </si>
  <si>
    <t>Picado et al, 2014</t>
  </si>
  <si>
    <t>Risk Factors for Visceral Leishmaniasis and Asymptomatic Leishmania donovani Infection in India and Nepal</t>
  </si>
  <si>
    <t>KALANET</t>
  </si>
  <si>
    <t>India + Nepal</t>
  </si>
  <si>
    <t>Bihar + Province No.1 and No.2</t>
  </si>
  <si>
    <t>Muzaffarpur + Morang, Sunsari and Saptari</t>
  </si>
  <si>
    <t xml:space="preserve">3 annual sero-surveys, only those with negative DAT/rK39 at baseline were admitted - Asymptomatic individuals defined as 'sero-converters' - Only DAT used to test for ASYM patients. 3 Categories for VL - Certain/Probable/Possible. CaseDefClinVL is for Certain VL. Unfortunately, age group population at risk data is not given so incidence calculations use (seronegatives+seroconvertors+VL cases) as the denominator. </t>
  </si>
  <si>
    <t xml:space="preserve">Clinical Suspect patient with - Positive bone marrow or spleen aspirate/ + rK39/ good response to anti-leishmanial treatment/ retrospective confirmation of diagnosis by caregiver/ patient who died of clinical VL. </t>
  </si>
  <si>
    <t>Conversion from Negative to Positive DAT but No Symptoms in ≥6 months follow-up</t>
  </si>
  <si>
    <t>Rijal et al, 2010</t>
  </si>
  <si>
    <t>Epidemiology of Leishmania donovani infection in high-transmission foci in Nepal</t>
  </si>
  <si>
    <t>Province No.1 and No.2</t>
  </si>
  <si>
    <t>Morang, Sunsari and Saptari</t>
  </si>
  <si>
    <t xml:space="preserve">Cross sectional sero-survey using DAT test across two districts in Nepal. Testing excluded those under 2 yrs of age, as well as those who did not live permanantly in the study clusters (at least 6 months living in the village for inclusion into sero-survey). </t>
  </si>
  <si>
    <t>317</t>
  </si>
  <si>
    <t>Individuals with suspected VL (fever lasting for 2 weeks or more) were examined by a physician and tested with the rK39 RDT to confirm cases of Clinical VL, the 1:1600 cutoff defines a positive case of VL (Clinical and Asymptomatic) during the sero-survey - not during the clinical examination.</t>
  </si>
  <si>
    <t>Saha et al, 2009</t>
  </si>
  <si>
    <t>INCIDENCE (ASM)</t>
  </si>
  <si>
    <t>Visceral leishmaniasis is preventable in a highly endemic village in West Bengal, India</t>
  </si>
  <si>
    <t>South Twenty Four Parganas</t>
  </si>
  <si>
    <t>Basanti</t>
  </si>
  <si>
    <t>Retrospective incidence study in Chatrakhali village, West Bengal, looking at DAT confirmed infections and not clinical presentations of VL. As no ClinVL was identified during the study period, it can be assumed that these infections were SeroPos but asymtomatic or dormant presentations. As this is an incidence study, sero-prevalence may not be calculated from the results. However, the data is recorded here for possible future use. Individuals were excluded if they were DAT positive at baseline - allowing for true/accurate calculation of asymptomatic infection incidence. Study was particularly interested in risk factors (age, religion, income)</t>
  </si>
  <si>
    <t>Incident case of non-clinical Leishmanial infection defined as seropositivity (≥1:1600 dilution in a DAT) in a person who was seronegative in 2004.</t>
  </si>
  <si>
    <t>Saha et al, 2017</t>
  </si>
  <si>
    <t>Asymptomatic leishmaniasis in kala-azar endemic areas of Malda district, West Bengal, India</t>
  </si>
  <si>
    <t>ICMR (Tribal/ 57/ 2010-ECD-II)</t>
  </si>
  <si>
    <t>Malda</t>
  </si>
  <si>
    <t>Gazole and Habibpur</t>
  </si>
  <si>
    <t>The age stratification of the study population is not given, so it is not possible to calculate the seroprevalence in each age group.</t>
  </si>
  <si>
    <t>Positive rK39 RDT but No symptoms</t>
  </si>
  <si>
    <t>Schenkel et al, 2006</t>
  </si>
  <si>
    <t>Visceral leishmaniasis in southeastern Nepal: A cross-sectional survey on Leishmania donovani infection and its risk factors</t>
  </si>
  <si>
    <t>Cross sectional sero-prevalence survey in the Dulari Vilage Development Centre, with the study concentrating on 2 wards (1 and 9) in the village. Study used both DAT and LST. All 373 individuals in the survey underwent DAT testing, whilst only 365 individuals' LSTs were read. The data in this row is just the DAT results. The study did not find 'any clinical suspect of KA during our field survey', therefore it can be assumed that all DAT positive individuals had either asymptomatic or dormant leishmanial infection. Note that age-group DAT-positive prevalences may be slightly inaccurate as 373 individuals were tested with DAT, but StudyPop1 etc. use the age stratification for the 365 individuals tested with both DAT and LST, as the 373 breakdown is not available. DAT RESULTS ONLY</t>
  </si>
  <si>
    <t>19</t>
  </si>
  <si>
    <t>Clinical suspect of KA - reported fever of more than 38.5C for 2 weeks, after exclusion of malaria by OptiMAL test along with clinical signs of either spleen or liver enlargement or lymphadenopathy on palpation.</t>
  </si>
  <si>
    <t>AS ABOVE - LST RESULTS ONLY. 4/19 past VL cases were LST positive.</t>
  </si>
  <si>
    <t>Positive LST but No Symptoms</t>
  </si>
  <si>
    <t>Singh et al, 2010</t>
  </si>
  <si>
    <t>Estimation of Under-Reporting of Visceral Leishmaniasis Cases in Bihar, India</t>
  </si>
  <si>
    <t>RMRIMS</t>
  </si>
  <si>
    <t>Vaishali</t>
  </si>
  <si>
    <t>Lalganj and Goraul</t>
  </si>
  <si>
    <t>Household Survey carried out to identify VL cases, cases were checked using records</t>
  </si>
  <si>
    <t>The epidemiology of Leishmania donovani infection in high transmission foci in India</t>
  </si>
  <si>
    <t>Part of the same study as ABOVE paper - KALANET based study (Rijal et al, 2010), therefore testing done in an identical manner (except in India).</t>
  </si>
  <si>
    <t>627</t>
  </si>
  <si>
    <t>Same as Rijal et al, 2010.</t>
  </si>
  <si>
    <t>Topno et al, 2010</t>
  </si>
  <si>
    <t>Asymptomatic Infection with Visceral Leishmaniasis in a Disease-Endemic Area in Bihar, India</t>
  </si>
  <si>
    <t>Patna</t>
  </si>
  <si>
    <t>Masaurhi</t>
  </si>
  <si>
    <t>Prospective study that followed cohort from Bhakhra village in Patna, Bihar, to determine prevalence of asymptomatic infection (by rK39 RDT, PCR and DAT) and proportion of asymptomatic individuals progressing to symptomatic VL. 71 of those screened (20%) had a history of VL in their family in the past 2 years. 50 individuals were positive on at least one of the tests at baseline, 10 of whom had active VL and 2 of whom had a history of VL in the past 6 months. The remaining 38 asymptomatic individuals were followed for 12 months. After 12 months, 7 had progressed to VL (5 within 3 months, 2 within 6 months), 8 were still asymptomatic and 23 had sero-/PCR-deconverted. Primary vector found during the survey was Phlebotomus argentipes. COMBINED rK39 RDT + PCR + DAT RESULTS</t>
  </si>
  <si>
    <t>10</t>
  </si>
  <si>
    <t>Clinical VL: Positive rK39/DAT/PCR + VL symptoms such as fever &gt;15 days, splenomegaly/hepatomegaly, and general physical VL conditions.</t>
  </si>
  <si>
    <t>Positive rK39/DAT/PCR but No Symptoms.</t>
  </si>
  <si>
    <t>AS ABOVE - DAT RESULTS ONLY</t>
  </si>
  <si>
    <t>PREVALENCE (PCR)</t>
  </si>
  <si>
    <t>AS ABOVE - PCR RESULTS ONLY</t>
  </si>
  <si>
    <t>AS ABOVE - rK39 RDT RESULTS ONLY</t>
  </si>
  <si>
    <t>Yangzom et al, 2012</t>
  </si>
  <si>
    <t>Endemic Transmission of Visceral Leishmaniasis in Bhutan</t>
  </si>
  <si>
    <t>WHO</t>
  </si>
  <si>
    <t>Bhutan</t>
  </si>
  <si>
    <t>Trashigang and Tsirang</t>
  </si>
  <si>
    <t>Outbreak investigation conducted by the WHO in Bhutan in response to the increasing number of reported cases in 2009 and 2010. LST surveys were performed in 3 villages, 2 of which had had a VL case and one of which had not. The prevalence of LST positivity was very different in each of the villages: 18.5% and 4.2% in the case villages and 0% in the control village. The results presented here are for all villages combined, as that it is all that is available in the paper.</t>
  </si>
  <si>
    <t>Probable VL: Reported as VL in the Ministry of Health surveillance data, but confirmation missing
Confirmed VL: Parasites visualised in bone marrow smear or positive rK39 test with clinical resolution with antileishmanial treatment</t>
  </si>
  <si>
    <t>Cross-sectional sero-study which looked at the number of 'sero-positive' cases. In terms of age stratification the study does not differentiate between those who were symptomatic for VL and those who we would classify in this study as sero-positive (asymptomatic and dormant cases). This row includes those belonging to study group B in the paper - which had a different survey date (Apr-Oct 1992) compared to group A (Dec 1991-Apr 1992). Both groups were found in the Trishal upazila. Group B was composed of individuals living in 7 villages - Sateropara, Selimpur, Porabari, Ratmoni, Narayanpur, Bhawalipur and Konabari - Although the study had 2 groups, group A is identical to the one described in the other Chowdhury et al, 1993 paper in the Mymensingh, Trishal group.</t>
  </si>
  <si>
    <t>Optical density of sample&gt;23% of OD of positive control (VL case) (=mean OD for endemic healthy controls + 3 standard deviations)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</si>
</sst>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m\-yy"/>
    <numFmt numFmtId="165" formatCode="0.0"/>
    <numFmt numFmtId="166" formatCode="dd&quot;-&quot;mmm&quot;-&quot;yy"/>
    <numFmt numFmtId="167" formatCode="#,##0.0"/>
    <numFmt numFmtId="168" formatCode="0.0%"/>
    <numFmt numFmtId="169" formatCode="mmmm\ yyyy"/>
  </numFmts>
  <fonts count="19" x14ac:knownFonts="1">
    <font>
      <sz val="10"/>
      <color rgb="FF000000"/>
      <name val="Arial"/>
    </font>
    <font>
      <b/>
      <sz val="11"/>
      <color rgb="FF000000"/>
      <name val="Calibri"/>
      <family val="2"/>
    </font>
    <font>
      <b/>
      <sz val="11"/>
      <color rgb="FFFF0000"/>
      <name val="Calibri"/>
      <family val="2"/>
    </font>
    <font>
      <b/>
      <sz val="11"/>
      <name val="Calibri"/>
      <family val="2"/>
    </font>
    <font>
      <sz val="11"/>
      <name val="Calibri"/>
      <family val="2"/>
    </font>
    <font>
      <b/>
      <sz val="8"/>
      <name val="Calibri"/>
      <family val="2"/>
    </font>
    <font>
      <sz val="11"/>
      <color rgb="FF000000"/>
      <name val="Calibri"/>
      <family val="2"/>
    </font>
    <font>
      <sz val="10"/>
      <name val="Calibri"/>
      <family val="2"/>
    </font>
    <font>
      <sz val="8"/>
      <name val="Calibri"/>
      <family val="2"/>
    </font>
    <font>
      <sz val="10"/>
      <name val="Arial"/>
      <family val="2"/>
    </font>
    <font>
      <b/>
      <sz val="8"/>
      <color rgb="FF000000"/>
      <name val="Calibri"/>
      <family val="2"/>
    </font>
    <font>
      <sz val="8"/>
      <color rgb="FF403838"/>
      <name val="Calibri"/>
      <family val="2"/>
    </font>
    <font>
      <b/>
      <sz val="8"/>
      <color rgb="FF111111"/>
      <name val="Calibri"/>
      <family val="2"/>
    </font>
    <font>
      <sz val="8"/>
      <color rgb="FF000000"/>
      <name val="Calibri"/>
      <family val="2"/>
    </font>
    <font>
      <strike/>
      <sz val="11"/>
      <name val="Calibri"/>
      <family val="2"/>
    </font>
    <font>
      <sz val="8"/>
      <color rgb="FF333333"/>
      <name val="Calibri"/>
      <family val="2"/>
    </font>
    <font>
      <sz val="11"/>
      <name val="Arial"/>
      <family val="2"/>
    </font>
    <font>
      <sz val="10"/>
      <color rgb="FF000000"/>
      <name val="Tahoma"/>
      <family val="2"/>
    </font>
    <font>
      <b/>
      <sz val="10"/>
      <color rgb="FF000000"/>
      <name val="Tahoma"/>
      <family val="2"/>
    </font>
  </fonts>
  <fills count="6">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999999"/>
        <bgColor rgb="FF999999"/>
      </patternFill>
    </fill>
  </fills>
  <borders count="9">
    <border>
      <left/>
      <right/>
      <top/>
      <bottom/>
      <diagonal/>
    </border>
    <border>
      <left/>
      <right style="medium">
        <color rgb="FF000000"/>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right style="medium">
        <color rgb="FF000000"/>
      </right>
      <top/>
      <bottom/>
      <diagonal/>
    </border>
    <border>
      <left/>
      <right style="thin">
        <color rgb="FF000000"/>
      </right>
      <top/>
      <bottom/>
      <diagonal/>
    </border>
    <border>
      <left style="thin">
        <color rgb="FF000000"/>
      </left>
      <right/>
      <top/>
      <bottom/>
      <diagonal/>
    </border>
    <border>
      <left/>
      <right/>
      <top/>
      <bottom/>
      <diagonal/>
    </border>
  </borders>
  <cellStyleXfs count="1">
    <xf numFmtId="0" fontId="0" fillId="0" borderId="0"/>
  </cellStyleXfs>
  <cellXfs count="250">
    <xf numFmtId="0" fontId="0" fillId="0" borderId="0" xfId="0" applyFont="1" applyAlignment="1"/>
    <xf numFmtId="0" fontId="1" fillId="0" borderId="1" xfId="0" applyFon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left" wrapText="1"/>
    </xf>
    <xf numFmtId="1" fontId="1" fillId="0" borderId="2" xfId="0" applyNumberFormat="1" applyFont="1" applyBorder="1" applyAlignment="1">
      <alignment horizontal="center"/>
    </xf>
    <xf numFmtId="1" fontId="1" fillId="0" borderId="2" xfId="0" applyNumberFormat="1" applyFont="1" applyBorder="1" applyAlignment="1">
      <alignment horizontal="center"/>
    </xf>
    <xf numFmtId="1" fontId="1" fillId="0" borderId="2" xfId="0" applyNumberFormat="1" applyFont="1" applyBorder="1" applyAlignment="1">
      <alignment horizontal="center"/>
    </xf>
    <xf numFmtId="4" fontId="1" fillId="0" borderId="2" xfId="0" applyNumberFormat="1" applyFont="1" applyBorder="1" applyAlignment="1">
      <alignment horizontal="center"/>
    </xf>
    <xf numFmtId="2" fontId="1" fillId="0" borderId="2" xfId="0" applyNumberFormat="1" applyFont="1" applyBorder="1" applyAlignment="1">
      <alignment horizontal="center"/>
    </xf>
    <xf numFmtId="49" fontId="1" fillId="0" borderId="2" xfId="0" applyNumberFormat="1" applyFont="1" applyBorder="1" applyAlignment="1">
      <alignment horizontal="left"/>
    </xf>
    <xf numFmtId="49" fontId="1" fillId="0" borderId="2" xfId="0" applyNumberFormat="1" applyFont="1" applyBorder="1" applyAlignment="1">
      <alignment horizontal="center"/>
    </xf>
    <xf numFmtId="49" fontId="1" fillId="0" borderId="2" xfId="0" applyNumberFormat="1" applyFont="1" applyBorder="1" applyAlignment="1">
      <alignment horizontal="center"/>
    </xf>
    <xf numFmtId="0" fontId="1" fillId="0" borderId="3" xfId="0"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4" fontId="2" fillId="0" borderId="3" xfId="0" applyNumberFormat="1" applyFont="1" applyBorder="1" applyAlignment="1">
      <alignment horizontal="center"/>
    </xf>
    <xf numFmtId="0" fontId="3" fillId="0" borderId="2"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4" fontId="3" fillId="0" borderId="3" xfId="0" applyNumberFormat="1" applyFont="1" applyBorder="1" applyAlignment="1">
      <alignment horizontal="center"/>
    </xf>
    <xf numFmtId="0" fontId="3" fillId="0" borderId="4" xfId="0" applyFont="1" applyBorder="1" applyAlignment="1">
      <alignment horizontal="center"/>
    </xf>
    <xf numFmtId="0" fontId="1" fillId="0" borderId="3" xfId="0" applyFont="1" applyBorder="1" applyAlignment="1">
      <alignment horizontal="center"/>
    </xf>
    <xf numFmtId="1" fontId="1" fillId="0" borderId="2" xfId="0" applyNumberFormat="1" applyFont="1" applyBorder="1" applyAlignment="1">
      <alignment horizontal="center"/>
    </xf>
    <xf numFmtId="1" fontId="2" fillId="0" borderId="2" xfId="0" applyNumberFormat="1" applyFont="1" applyBorder="1" applyAlignment="1">
      <alignment horizontal="center"/>
    </xf>
    <xf numFmtId="0" fontId="4" fillId="0" borderId="5" xfId="0" applyFont="1" applyBorder="1" applyAlignment="1">
      <alignment horizontal="center"/>
    </xf>
    <xf numFmtId="0" fontId="3" fillId="0" borderId="0" xfId="0" applyFont="1" applyAlignment="1">
      <alignment wrapText="1"/>
    </xf>
    <xf numFmtId="0" fontId="5" fillId="0" borderId="0" xfId="0" applyFont="1" applyAlignment="1">
      <alignment wrapText="1"/>
    </xf>
    <xf numFmtId="0" fontId="6" fillId="2" borderId="0" xfId="0" applyFont="1" applyFill="1" applyAlignment="1">
      <alignment horizontal="center"/>
    </xf>
    <xf numFmtId="0" fontId="4" fillId="0" borderId="0" xfId="0" applyFont="1" applyAlignment="1"/>
    <xf numFmtId="1" fontId="6" fillId="3" borderId="0" xfId="0" applyNumberFormat="1" applyFont="1" applyFill="1" applyAlignment="1">
      <alignment horizontal="left" wrapText="1"/>
    </xf>
    <xf numFmtId="1" fontId="6" fillId="2" borderId="0" xfId="0" applyNumberFormat="1" applyFont="1" applyFill="1" applyAlignment="1">
      <alignment horizontal="center"/>
    </xf>
    <xf numFmtId="1" fontId="7" fillId="0" borderId="0" xfId="0" applyNumberFormat="1" applyFont="1" applyAlignment="1"/>
    <xf numFmtId="1" fontId="6" fillId="2" borderId="0" xfId="0" applyNumberFormat="1" applyFont="1" applyFill="1" applyAlignment="1">
      <alignment horizontal="center"/>
    </xf>
    <xf numFmtId="10" fontId="7" fillId="0" borderId="0" xfId="0" applyNumberFormat="1" applyFont="1" applyAlignment="1">
      <alignment horizontal="center"/>
    </xf>
    <xf numFmtId="49" fontId="8" fillId="0" borderId="0" xfId="0" applyNumberFormat="1" applyFont="1" applyAlignment="1">
      <alignment horizontal="left" wrapText="1"/>
    </xf>
    <xf numFmtId="49" fontId="4" fillId="0" borderId="0" xfId="0" applyNumberFormat="1" applyFont="1" applyAlignment="1"/>
    <xf numFmtId="0" fontId="6" fillId="2" borderId="0" xfId="0" applyFont="1" applyFill="1" applyAlignment="1">
      <alignment horizontal="center"/>
    </xf>
    <xf numFmtId="49" fontId="7" fillId="0" borderId="0" xfId="0" applyNumberFormat="1" applyFont="1" applyAlignment="1">
      <alignment horizontal="left"/>
    </xf>
    <xf numFmtId="0" fontId="8" fillId="0" borderId="0" xfId="0" applyFont="1" applyAlignment="1">
      <alignment wrapText="1"/>
    </xf>
    <xf numFmtId="0" fontId="6" fillId="2" borderId="6" xfId="0" applyFont="1" applyFill="1" applyBorder="1" applyAlignment="1">
      <alignment horizontal="center"/>
    </xf>
    <xf numFmtId="0" fontId="4" fillId="0" borderId="6" xfId="0" applyFont="1" applyBorder="1" applyAlignment="1"/>
    <xf numFmtId="10" fontId="6" fillId="0" borderId="6" xfId="0" applyNumberFormat="1" applyFont="1" applyBorder="1" applyAlignment="1">
      <alignment horizontal="right"/>
    </xf>
    <xf numFmtId="0" fontId="4" fillId="0" borderId="0" xfId="0" applyFont="1" applyAlignment="1">
      <alignment horizontal="right"/>
    </xf>
    <xf numFmtId="0" fontId="4" fillId="0" borderId="7" xfId="0" applyFont="1" applyBorder="1" applyAlignment="1"/>
    <xf numFmtId="10" fontId="4" fillId="0" borderId="6" xfId="0" applyNumberFormat="1" applyFont="1" applyBorder="1" applyAlignment="1"/>
    <xf numFmtId="0" fontId="6" fillId="4" borderId="0" xfId="0" applyFont="1" applyFill="1" applyAlignment="1">
      <alignment horizontal="center"/>
    </xf>
    <xf numFmtId="10" fontId="4" fillId="0" borderId="0" xfId="0" applyNumberFormat="1" applyFont="1" applyAlignment="1"/>
    <xf numFmtId="0" fontId="4" fillId="5" borderId="7" xfId="0" applyFont="1" applyFill="1" applyBorder="1" applyAlignment="1"/>
    <xf numFmtId="0" fontId="4" fillId="5" borderId="0" xfId="0" applyFont="1" applyFill="1" applyAlignment="1"/>
    <xf numFmtId="0" fontId="4" fillId="5" borderId="6" xfId="0" applyFont="1" applyFill="1" applyBorder="1" applyAlignment="1"/>
    <xf numFmtId="10" fontId="4" fillId="5" borderId="6" xfId="0" applyNumberFormat="1" applyFont="1" applyFill="1" applyBorder="1" applyAlignment="1"/>
    <xf numFmtId="1" fontId="4" fillId="5" borderId="0" xfId="0" applyNumberFormat="1" applyFont="1" applyFill="1" applyAlignment="1"/>
    <xf numFmtId="0" fontId="7" fillId="5" borderId="0" xfId="0" applyFont="1" applyFill="1" applyAlignment="1"/>
    <xf numFmtId="0" fontId="7" fillId="5" borderId="6" xfId="0" applyFont="1" applyFill="1" applyBorder="1" applyAlignment="1"/>
    <xf numFmtId="10" fontId="7" fillId="5" borderId="6" xfId="0" applyNumberFormat="1" applyFont="1" applyFill="1" applyBorder="1" applyAlignment="1"/>
    <xf numFmtId="0" fontId="3" fillId="0" borderId="0" xfId="0" applyFont="1" applyAlignment="1"/>
    <xf numFmtId="0" fontId="8" fillId="0" borderId="0" xfId="0" applyFont="1" applyAlignment="1">
      <alignment wrapText="1"/>
    </xf>
    <xf numFmtId="164" fontId="4" fillId="0" borderId="0" xfId="0" applyNumberFormat="1" applyFont="1" applyAlignment="1"/>
    <xf numFmtId="0" fontId="9" fillId="0" borderId="0" xfId="0" applyFont="1" applyAlignment="1">
      <alignment wrapText="1"/>
    </xf>
    <xf numFmtId="0" fontId="4" fillId="0" borderId="0" xfId="0" applyFont="1" applyAlignment="1">
      <alignment wrapText="1"/>
    </xf>
    <xf numFmtId="0" fontId="4" fillId="0" borderId="0" xfId="0" applyFont="1" applyAlignment="1">
      <alignment horizontal="left" wrapText="1"/>
    </xf>
    <xf numFmtId="1" fontId="4" fillId="0" borderId="0" xfId="0" applyNumberFormat="1" applyFont="1" applyAlignment="1"/>
    <xf numFmtId="1" fontId="4" fillId="0" borderId="0" xfId="0" applyNumberFormat="1" applyFont="1" applyAlignment="1"/>
    <xf numFmtId="49" fontId="4" fillId="0" borderId="0" xfId="0" applyNumberFormat="1" applyFont="1" applyAlignment="1">
      <alignment horizontal="left"/>
    </xf>
    <xf numFmtId="0" fontId="4" fillId="0" borderId="0" xfId="0" applyFont="1" applyAlignment="1">
      <alignment horizontal="left"/>
    </xf>
    <xf numFmtId="0" fontId="8" fillId="0" borderId="6" xfId="0" applyFont="1" applyBorder="1" applyAlignment="1">
      <alignment wrapText="1"/>
    </xf>
    <xf numFmtId="0" fontId="6" fillId="2" borderId="7" xfId="0" applyFont="1" applyFill="1" applyBorder="1" applyAlignment="1">
      <alignment horizontal="center"/>
    </xf>
    <xf numFmtId="0" fontId="5" fillId="0" borderId="0" xfId="0" applyFont="1" applyAlignment="1">
      <alignment horizontal="left" wrapText="1"/>
    </xf>
    <xf numFmtId="0" fontId="4" fillId="0" borderId="0" xfId="0" applyFont="1" applyAlignment="1">
      <alignment horizontal="center"/>
    </xf>
    <xf numFmtId="3" fontId="4" fillId="0" borderId="0" xfId="0" applyNumberFormat="1" applyFont="1" applyAlignment="1">
      <alignment horizontal="center"/>
    </xf>
    <xf numFmtId="165" fontId="4" fillId="0" borderId="0" xfId="0" applyNumberFormat="1" applyFont="1" applyAlignment="1"/>
    <xf numFmtId="4" fontId="4" fillId="0" borderId="6" xfId="0" applyNumberFormat="1" applyFont="1" applyBorder="1" applyAlignment="1">
      <alignment horizontal="right"/>
    </xf>
    <xf numFmtId="10" fontId="6" fillId="2" borderId="6" xfId="0" applyNumberFormat="1" applyFont="1" applyFill="1" applyBorder="1" applyAlignment="1">
      <alignment horizontal="center"/>
    </xf>
    <xf numFmtId="0" fontId="4" fillId="0" borderId="8" xfId="0" applyFont="1" applyBorder="1" applyAlignment="1"/>
    <xf numFmtId="4" fontId="4" fillId="0" borderId="6" xfId="0" applyNumberFormat="1" applyFont="1" applyBorder="1" applyAlignment="1"/>
    <xf numFmtId="0" fontId="4" fillId="0" borderId="6" xfId="0" applyFont="1" applyBorder="1" applyAlignment="1"/>
    <xf numFmtId="0" fontId="10" fillId="3" borderId="0" xfId="0" applyFont="1" applyFill="1" applyAlignment="1">
      <alignment horizontal="left" wrapText="1"/>
    </xf>
    <xf numFmtId="0" fontId="6" fillId="3" borderId="0" xfId="0" applyFont="1" applyFill="1" applyAlignment="1">
      <alignment horizontal="center"/>
    </xf>
    <xf numFmtId="166" fontId="4" fillId="0" borderId="0" xfId="0" applyNumberFormat="1" applyFont="1" applyAlignment="1">
      <alignment horizontal="right"/>
    </xf>
    <xf numFmtId="0" fontId="4" fillId="0" borderId="0" xfId="0" applyFont="1" applyAlignment="1"/>
    <xf numFmtId="1" fontId="4" fillId="0" borderId="0" xfId="0" applyNumberFormat="1" applyFont="1" applyAlignment="1"/>
    <xf numFmtId="2" fontId="4" fillId="0" borderId="0" xfId="0" applyNumberFormat="1" applyFont="1" applyAlignment="1"/>
    <xf numFmtId="49" fontId="8" fillId="0" borderId="0" xfId="0" applyNumberFormat="1" applyFont="1" applyAlignment="1">
      <alignment wrapText="1"/>
    </xf>
    <xf numFmtId="4" fontId="4" fillId="0" borderId="6" xfId="0" applyNumberFormat="1" applyFont="1" applyBorder="1" applyAlignment="1">
      <alignment horizontal="right"/>
    </xf>
    <xf numFmtId="0" fontId="4" fillId="0" borderId="7" xfId="0" applyFont="1" applyBorder="1" applyAlignment="1">
      <alignment horizontal="right"/>
    </xf>
    <xf numFmtId="166" fontId="4" fillId="0" borderId="0" xfId="0" applyNumberFormat="1" applyFont="1" applyAlignment="1">
      <alignment horizontal="right"/>
    </xf>
    <xf numFmtId="1" fontId="4" fillId="2" borderId="0" xfId="0" applyNumberFormat="1" applyFont="1" applyFill="1" applyAlignment="1"/>
    <xf numFmtId="1" fontId="4" fillId="2" borderId="0" xfId="0" applyNumberFormat="1" applyFont="1" applyFill="1" applyAlignment="1"/>
    <xf numFmtId="167" fontId="4" fillId="0" borderId="0" xfId="0" applyNumberFormat="1" applyFont="1" applyAlignment="1">
      <alignment horizontal="center"/>
    </xf>
    <xf numFmtId="0" fontId="4" fillId="2" borderId="6" xfId="0" applyFont="1" applyFill="1" applyBorder="1" applyAlignment="1"/>
    <xf numFmtId="2" fontId="4" fillId="0" borderId="6" xfId="0" applyNumberFormat="1" applyFont="1" applyBorder="1" applyAlignment="1"/>
    <xf numFmtId="0" fontId="4" fillId="2" borderId="0" xfId="0" applyFont="1" applyFill="1" applyAlignment="1"/>
    <xf numFmtId="10" fontId="4" fillId="2" borderId="6" xfId="0" applyNumberFormat="1" applyFont="1" applyFill="1" applyBorder="1" applyAlignment="1"/>
    <xf numFmtId="0" fontId="11" fillId="3" borderId="0" xfId="0" applyFont="1" applyFill="1" applyAlignment="1">
      <alignment wrapText="1"/>
    </xf>
    <xf numFmtId="0" fontId="6" fillId="0" borderId="0" xfId="0" applyFont="1" applyAlignment="1">
      <alignment horizontal="center"/>
    </xf>
    <xf numFmtId="4" fontId="6" fillId="2" borderId="6" xfId="0" applyNumberFormat="1" applyFont="1" applyFill="1" applyBorder="1" applyAlignment="1">
      <alignment horizontal="center"/>
    </xf>
    <xf numFmtId="0" fontId="6" fillId="0" borderId="7" xfId="0" applyFont="1" applyBorder="1" applyAlignment="1">
      <alignment horizontal="center"/>
    </xf>
    <xf numFmtId="10" fontId="4" fillId="0" borderId="6" xfId="0" applyNumberFormat="1" applyFont="1" applyBorder="1" applyAlignment="1"/>
    <xf numFmtId="0" fontId="6" fillId="0" borderId="6" xfId="0" applyFont="1" applyBorder="1" applyAlignment="1">
      <alignment horizontal="center"/>
    </xf>
    <xf numFmtId="4" fontId="6" fillId="2" borderId="0" xfId="0" applyNumberFormat="1" applyFont="1" applyFill="1" applyAlignment="1">
      <alignment horizontal="center"/>
    </xf>
    <xf numFmtId="10" fontId="4" fillId="0" borderId="0" xfId="0" applyNumberFormat="1" applyFont="1" applyAlignment="1"/>
    <xf numFmtId="10" fontId="4" fillId="0" borderId="0" xfId="0" applyNumberFormat="1" applyFont="1" applyAlignment="1">
      <alignment horizontal="center"/>
    </xf>
    <xf numFmtId="49" fontId="8" fillId="0" borderId="0" xfId="0" applyNumberFormat="1" applyFont="1" applyAlignment="1"/>
    <xf numFmtId="0" fontId="12" fillId="3" borderId="0" xfId="0" applyFont="1" applyFill="1" applyAlignment="1">
      <alignment horizontal="left" wrapText="1"/>
    </xf>
    <xf numFmtId="0" fontId="7" fillId="0" borderId="0" xfId="0" applyFont="1" applyAlignment="1"/>
    <xf numFmtId="1" fontId="4" fillId="0" borderId="0" xfId="0" applyNumberFormat="1" applyFont="1" applyAlignment="1"/>
    <xf numFmtId="49" fontId="7" fillId="0" borderId="0" xfId="0" applyNumberFormat="1" applyFont="1" applyAlignment="1"/>
    <xf numFmtId="0" fontId="4" fillId="0" borderId="6" xfId="0" applyFont="1" applyBorder="1" applyAlignment="1">
      <alignment horizontal="right"/>
    </xf>
    <xf numFmtId="4" fontId="6" fillId="2" borderId="6" xfId="0" applyNumberFormat="1" applyFont="1" applyFill="1" applyBorder="1" applyAlignment="1">
      <alignment horizontal="center"/>
    </xf>
    <xf numFmtId="10" fontId="6" fillId="0" borderId="0" xfId="0" applyNumberFormat="1" applyFont="1" applyAlignment="1">
      <alignment horizontal="right"/>
    </xf>
    <xf numFmtId="1" fontId="9" fillId="0" borderId="0" xfId="0" applyNumberFormat="1" applyFont="1"/>
    <xf numFmtId="4" fontId="6" fillId="2" borderId="0" xfId="0" applyNumberFormat="1" applyFont="1" applyFill="1" applyAlignment="1">
      <alignment horizontal="center"/>
    </xf>
    <xf numFmtId="0" fontId="6" fillId="0" borderId="5" xfId="0" applyFont="1" applyBorder="1" applyAlignment="1">
      <alignment horizontal="center"/>
    </xf>
    <xf numFmtId="0" fontId="1" fillId="0" borderId="0" xfId="0" applyFont="1" applyAlignment="1"/>
    <xf numFmtId="0" fontId="5" fillId="0" borderId="0" xfId="0" applyFont="1" applyAlignment="1">
      <alignment horizontal="left" wrapText="1"/>
    </xf>
    <xf numFmtId="0" fontId="6" fillId="3" borderId="0" xfId="0" applyFont="1" applyFill="1" applyAlignment="1">
      <alignment horizontal="center" wrapText="1"/>
    </xf>
    <xf numFmtId="166" fontId="6" fillId="0" borderId="0" xfId="0" applyNumberFormat="1" applyFont="1" applyAlignment="1">
      <alignment horizontal="right"/>
    </xf>
    <xf numFmtId="0" fontId="6" fillId="0" borderId="0" xfId="0" applyFont="1" applyAlignment="1">
      <alignment horizontal="center"/>
    </xf>
    <xf numFmtId="0" fontId="6" fillId="0" borderId="0" xfId="0" applyFont="1" applyAlignment="1"/>
    <xf numFmtId="0" fontId="6" fillId="0" borderId="0" xfId="0" applyFont="1" applyAlignment="1">
      <alignment horizontal="left" wrapText="1"/>
    </xf>
    <xf numFmtId="0" fontId="6" fillId="0" borderId="0" xfId="0" applyFont="1" applyAlignment="1">
      <alignment horizontal="right"/>
    </xf>
    <xf numFmtId="1" fontId="6" fillId="0" borderId="0" xfId="0" applyNumberFormat="1" applyFont="1" applyAlignment="1">
      <alignment horizontal="right"/>
    </xf>
    <xf numFmtId="1" fontId="6" fillId="0" borderId="0" xfId="0" applyNumberFormat="1" applyFont="1" applyAlignment="1">
      <alignment horizontal="right"/>
    </xf>
    <xf numFmtId="1" fontId="6" fillId="2" borderId="0" xfId="0" applyNumberFormat="1" applyFont="1" applyFill="1" applyAlignment="1">
      <alignment horizontal="right"/>
    </xf>
    <xf numFmtId="2" fontId="6" fillId="2" borderId="0" xfId="0" applyNumberFormat="1" applyFont="1" applyFill="1" applyAlignment="1">
      <alignment horizontal="center"/>
    </xf>
    <xf numFmtId="3" fontId="6" fillId="0" borderId="0" xfId="0" applyNumberFormat="1" applyFont="1" applyAlignment="1">
      <alignment horizontal="center"/>
    </xf>
    <xf numFmtId="2" fontId="6" fillId="0" borderId="0" xfId="0" applyNumberFormat="1" applyFont="1" applyAlignment="1">
      <alignment horizontal="right"/>
    </xf>
    <xf numFmtId="10" fontId="6" fillId="2" borderId="0" xfId="0" applyNumberFormat="1" applyFont="1" applyFill="1" applyAlignment="1">
      <alignment horizontal="center"/>
    </xf>
    <xf numFmtId="49" fontId="13" fillId="0" borderId="0" xfId="0" applyNumberFormat="1" applyFont="1" applyAlignment="1">
      <alignment horizontal="left" wrapText="1"/>
    </xf>
    <xf numFmtId="49" fontId="6" fillId="0" borderId="0" xfId="0" applyNumberFormat="1" applyFont="1" applyAlignment="1">
      <alignment horizontal="left"/>
    </xf>
    <xf numFmtId="49" fontId="6" fillId="0" borderId="0" xfId="0" applyNumberFormat="1" applyFont="1" applyAlignment="1">
      <alignment horizontal="left"/>
    </xf>
    <xf numFmtId="49" fontId="6" fillId="2" borderId="0" xfId="0" applyNumberFormat="1" applyFont="1" applyFill="1" applyAlignment="1">
      <alignment horizontal="center"/>
    </xf>
    <xf numFmtId="0" fontId="6" fillId="0" borderId="0" xfId="0" applyFont="1" applyAlignment="1">
      <alignment horizontal="left"/>
    </xf>
    <xf numFmtId="49" fontId="13" fillId="0" borderId="6" xfId="0" applyNumberFormat="1" applyFont="1" applyBorder="1" applyAlignment="1">
      <alignment wrapText="1"/>
    </xf>
    <xf numFmtId="0" fontId="6" fillId="3" borderId="0" xfId="0" applyFont="1" applyFill="1" applyAlignment="1">
      <alignment horizontal="right"/>
    </xf>
    <xf numFmtId="0" fontId="6" fillId="0" borderId="7" xfId="0" applyFont="1" applyBorder="1" applyAlignment="1">
      <alignment horizontal="right"/>
    </xf>
    <xf numFmtId="4" fontId="6" fillId="3" borderId="0" xfId="0" applyNumberFormat="1" applyFont="1" applyFill="1" applyAlignment="1">
      <alignment horizontal="right"/>
    </xf>
    <xf numFmtId="0" fontId="6" fillId="0" borderId="7" xfId="0" applyFont="1" applyBorder="1" applyAlignment="1">
      <alignment horizontal="right"/>
    </xf>
    <xf numFmtId="0" fontId="4" fillId="0" borderId="0" xfId="0" applyFont="1" applyAlignment="1">
      <alignment horizontal="right"/>
    </xf>
    <xf numFmtId="0" fontId="4" fillId="2" borderId="6" xfId="0" applyFont="1" applyFill="1" applyBorder="1" applyAlignment="1">
      <alignment horizontal="center"/>
    </xf>
    <xf numFmtId="0" fontId="14" fillId="5" borderId="7" xfId="0" applyFont="1" applyFill="1" applyBorder="1" applyAlignment="1"/>
    <xf numFmtId="0" fontId="4" fillId="5" borderId="0" xfId="0" applyFont="1" applyFill="1" applyAlignment="1">
      <alignment horizontal="right"/>
    </xf>
    <xf numFmtId="0" fontId="1" fillId="0" borderId="0" xfId="0" applyFont="1" applyAlignment="1">
      <alignment horizontal="left" wrapText="1"/>
    </xf>
    <xf numFmtId="0" fontId="10" fillId="0" borderId="0" xfId="0" applyFont="1" applyAlignment="1">
      <alignment horizontal="left" wrapText="1"/>
    </xf>
    <xf numFmtId="166" fontId="6" fillId="0" borderId="0" xfId="0" applyNumberFormat="1" applyFont="1" applyAlignment="1">
      <alignment horizontal="right"/>
    </xf>
    <xf numFmtId="0" fontId="6" fillId="0" borderId="0" xfId="0" applyFont="1" applyAlignment="1">
      <alignment horizontal="left" wrapText="1"/>
    </xf>
    <xf numFmtId="167" fontId="6" fillId="3" borderId="0" xfId="0" applyNumberFormat="1" applyFont="1" applyFill="1" applyAlignment="1">
      <alignment horizontal="center"/>
    </xf>
    <xf numFmtId="4" fontId="6" fillId="3" borderId="0" xfId="0" applyNumberFormat="1" applyFont="1" applyFill="1" applyAlignment="1">
      <alignment horizontal="right"/>
    </xf>
    <xf numFmtId="49" fontId="13" fillId="0" borderId="0" xfId="0" applyNumberFormat="1" applyFont="1" applyAlignment="1">
      <alignment horizontal="left" wrapText="1"/>
    </xf>
    <xf numFmtId="0" fontId="6" fillId="0" borderId="0" xfId="0" applyFont="1" applyAlignment="1">
      <alignment horizontal="left"/>
    </xf>
    <xf numFmtId="0" fontId="6" fillId="0" borderId="0" xfId="0" applyFont="1" applyAlignment="1">
      <alignment horizontal="left"/>
    </xf>
    <xf numFmtId="0" fontId="6" fillId="3" borderId="0" xfId="0" applyFont="1" applyFill="1" applyAlignment="1">
      <alignment horizontal="left"/>
    </xf>
    <xf numFmtId="49" fontId="6" fillId="0" borderId="0" xfId="0" applyNumberFormat="1" applyFont="1" applyAlignment="1">
      <alignment horizontal="left"/>
    </xf>
    <xf numFmtId="49" fontId="13" fillId="3" borderId="0" xfId="0" applyNumberFormat="1" applyFont="1" applyFill="1" applyAlignment="1">
      <alignment wrapText="1"/>
    </xf>
    <xf numFmtId="49" fontId="4" fillId="2" borderId="6" xfId="0" applyNumberFormat="1" applyFont="1" applyFill="1" applyBorder="1" applyAlignment="1">
      <alignment horizontal="center"/>
    </xf>
    <xf numFmtId="0" fontId="6" fillId="2" borderId="0" xfId="0" applyFont="1" applyFill="1" applyAlignment="1">
      <alignment horizontal="center"/>
    </xf>
    <xf numFmtId="0" fontId="6" fillId="2" borderId="6" xfId="0" applyFont="1" applyFill="1" applyBorder="1" applyAlignment="1">
      <alignment horizontal="center"/>
    </xf>
    <xf numFmtId="4" fontId="6" fillId="0" borderId="0" xfId="0" applyNumberFormat="1" applyFont="1" applyAlignment="1">
      <alignment horizontal="right"/>
    </xf>
    <xf numFmtId="1" fontId="6" fillId="0" borderId="7" xfId="0" applyNumberFormat="1" applyFont="1" applyBorder="1" applyAlignment="1">
      <alignment horizontal="right"/>
    </xf>
    <xf numFmtId="2" fontId="6" fillId="0" borderId="6" xfId="0" applyNumberFormat="1" applyFont="1" applyBorder="1" applyAlignment="1">
      <alignment horizontal="right"/>
    </xf>
    <xf numFmtId="0" fontId="6" fillId="0" borderId="0" xfId="0" applyFont="1" applyAlignment="1">
      <alignment horizontal="right"/>
    </xf>
    <xf numFmtId="2" fontId="6" fillId="0" borderId="6" xfId="0" applyNumberFormat="1" applyFont="1" applyBorder="1" applyAlignment="1">
      <alignment horizontal="right"/>
    </xf>
    <xf numFmtId="0" fontId="4" fillId="0" borderId="5" xfId="0" applyFont="1" applyBorder="1" applyAlignment="1">
      <alignment horizontal="center"/>
    </xf>
    <xf numFmtId="0" fontId="1" fillId="0" borderId="0" xfId="0" applyFont="1" applyAlignment="1">
      <alignment wrapText="1"/>
    </xf>
    <xf numFmtId="0" fontId="6" fillId="0" borderId="0" xfId="0" applyFont="1" applyAlignment="1">
      <alignment horizontal="center"/>
    </xf>
    <xf numFmtId="1" fontId="4" fillId="3" borderId="0" xfId="0" applyNumberFormat="1" applyFont="1" applyFill="1" applyAlignment="1"/>
    <xf numFmtId="1" fontId="6" fillId="0" borderId="0" xfId="0" applyNumberFormat="1" applyFont="1" applyAlignment="1">
      <alignment horizontal="right"/>
    </xf>
    <xf numFmtId="4" fontId="6" fillId="3" borderId="0" xfId="0" applyNumberFormat="1" applyFont="1" applyFill="1" applyAlignment="1">
      <alignment horizontal="center"/>
    </xf>
    <xf numFmtId="2" fontId="6" fillId="3" borderId="0" xfId="0" applyNumberFormat="1" applyFont="1" applyFill="1" applyAlignment="1">
      <alignment horizontal="right"/>
    </xf>
    <xf numFmtId="49" fontId="6" fillId="0" borderId="0" xfId="0" applyNumberFormat="1" applyFont="1" applyAlignment="1"/>
    <xf numFmtId="49" fontId="13" fillId="0" borderId="0" xfId="0" applyNumberFormat="1" applyFont="1" applyAlignment="1">
      <alignment wrapText="1"/>
    </xf>
    <xf numFmtId="0" fontId="9" fillId="2" borderId="6" xfId="0" applyFont="1" applyFill="1" applyBorder="1"/>
    <xf numFmtId="4" fontId="6" fillId="0" borderId="6" xfId="0" applyNumberFormat="1" applyFont="1" applyBorder="1" applyAlignment="1">
      <alignment horizontal="right"/>
    </xf>
    <xf numFmtId="10" fontId="6" fillId="2" borderId="0" xfId="0" applyNumberFormat="1" applyFont="1" applyFill="1" applyAlignment="1">
      <alignment horizontal="center"/>
    </xf>
    <xf numFmtId="1" fontId="6" fillId="0" borderId="7" xfId="0" applyNumberFormat="1" applyFont="1" applyBorder="1" applyAlignment="1">
      <alignment horizontal="right"/>
    </xf>
    <xf numFmtId="0" fontId="6" fillId="4" borderId="0" xfId="0" applyFont="1" applyFill="1" applyAlignment="1">
      <alignment horizontal="center"/>
    </xf>
    <xf numFmtId="10" fontId="6" fillId="4" borderId="6" xfId="0" applyNumberFormat="1" applyFont="1" applyFill="1" applyBorder="1" applyAlignment="1">
      <alignment horizontal="center"/>
    </xf>
    <xf numFmtId="0" fontId="6" fillId="0" borderId="6" xfId="0" applyFont="1" applyBorder="1" applyAlignment="1">
      <alignment horizontal="right"/>
    </xf>
    <xf numFmtId="0" fontId="1" fillId="0" borderId="0" xfId="0" applyFont="1" applyAlignment="1">
      <alignment wrapText="1"/>
    </xf>
    <xf numFmtId="0" fontId="6" fillId="0" borderId="6" xfId="0" applyFont="1" applyBorder="1" applyAlignment="1">
      <alignment horizontal="right"/>
    </xf>
    <xf numFmtId="10" fontId="6" fillId="0" borderId="6" xfId="0" applyNumberFormat="1" applyFont="1" applyBorder="1" applyAlignment="1">
      <alignment horizontal="right"/>
    </xf>
    <xf numFmtId="0" fontId="6" fillId="4" borderId="7" xfId="0" applyFont="1" applyFill="1" applyBorder="1" applyAlignment="1">
      <alignment horizontal="center"/>
    </xf>
    <xf numFmtId="0" fontId="6" fillId="4" borderId="6" xfId="0" applyFont="1" applyFill="1" applyBorder="1" applyAlignment="1">
      <alignment horizontal="center"/>
    </xf>
    <xf numFmtId="0" fontId="7" fillId="5" borderId="7" xfId="0" applyFont="1" applyFill="1" applyBorder="1" applyAlignment="1"/>
    <xf numFmtId="0" fontId="10" fillId="3" borderId="0" xfId="0" applyFont="1" applyFill="1" applyAlignment="1">
      <alignment wrapText="1"/>
    </xf>
    <xf numFmtId="0" fontId="4" fillId="0" borderId="0" xfId="0" applyFont="1" applyAlignment="1">
      <alignment horizontal="center" wrapText="1"/>
    </xf>
    <xf numFmtId="1" fontId="6" fillId="0" borderId="0" xfId="0" applyNumberFormat="1" applyFont="1" applyAlignment="1">
      <alignment horizontal="right"/>
    </xf>
    <xf numFmtId="1" fontId="4" fillId="4" borderId="0" xfId="0" applyNumberFormat="1" applyFont="1" applyFill="1" applyAlignment="1"/>
    <xf numFmtId="0" fontId="13" fillId="0" borderId="0" xfId="0" applyFont="1" applyAlignment="1">
      <alignment horizontal="left" wrapText="1"/>
    </xf>
    <xf numFmtId="0" fontId="6" fillId="2" borderId="0" xfId="0" applyFont="1" applyFill="1" applyAlignment="1">
      <alignment horizontal="left"/>
    </xf>
    <xf numFmtId="0" fontId="13" fillId="0" borderId="6" xfId="0" applyFont="1" applyBorder="1" applyAlignment="1">
      <alignment horizontal="left" wrapText="1"/>
    </xf>
    <xf numFmtId="0" fontId="6" fillId="0" borderId="0" xfId="0" applyFont="1" applyAlignment="1">
      <alignment horizontal="right"/>
    </xf>
    <xf numFmtId="0" fontId="1" fillId="0" borderId="0" xfId="0" applyFont="1" applyAlignment="1"/>
    <xf numFmtId="0" fontId="10" fillId="3" borderId="0" xfId="0" applyFont="1" applyFill="1" applyAlignment="1">
      <alignment horizontal="left" wrapText="1"/>
    </xf>
    <xf numFmtId="0" fontId="6" fillId="0" borderId="0" xfId="0" applyFont="1" applyAlignment="1">
      <alignment wrapText="1"/>
    </xf>
    <xf numFmtId="0" fontId="6" fillId="3" borderId="0" xfId="0" applyFont="1" applyFill="1" applyAlignment="1">
      <alignment horizontal="left" wrapText="1"/>
    </xf>
    <xf numFmtId="0" fontId="6" fillId="0" borderId="5" xfId="0" applyFont="1" applyBorder="1" applyAlignment="1">
      <alignment horizontal="center"/>
    </xf>
    <xf numFmtId="0" fontId="1" fillId="3" borderId="0" xfId="0" applyFont="1" applyFill="1" applyAlignment="1">
      <alignment horizontal="left" wrapText="1"/>
    </xf>
    <xf numFmtId="0" fontId="6" fillId="0" borderId="0" xfId="0" applyFont="1" applyAlignment="1"/>
    <xf numFmtId="1" fontId="6" fillId="3" borderId="0" xfId="0" applyNumberFormat="1" applyFont="1" applyFill="1" applyAlignment="1">
      <alignment horizontal="right"/>
    </xf>
    <xf numFmtId="0" fontId="7" fillId="3" borderId="0" xfId="0" applyFont="1" applyFill="1" applyAlignment="1"/>
    <xf numFmtId="4" fontId="6" fillId="2" borderId="0" xfId="0" applyNumberFormat="1" applyFont="1" applyFill="1" applyAlignment="1">
      <alignment horizontal="center"/>
    </xf>
    <xf numFmtId="10" fontId="6" fillId="0" borderId="0" xfId="0" applyNumberFormat="1" applyFont="1" applyAlignment="1">
      <alignment horizontal="center"/>
    </xf>
    <xf numFmtId="0" fontId="6" fillId="0" borderId="0" xfId="0" applyFont="1" applyAlignment="1">
      <alignment horizontal="left"/>
    </xf>
    <xf numFmtId="10" fontId="6" fillId="0" borderId="6" xfId="0" applyNumberFormat="1" applyFont="1" applyBorder="1" applyAlignment="1">
      <alignment horizontal="right"/>
    </xf>
    <xf numFmtId="10" fontId="4" fillId="0" borderId="6" xfId="0" applyNumberFormat="1" applyFont="1" applyBorder="1" applyAlignment="1">
      <alignment horizontal="right"/>
    </xf>
    <xf numFmtId="0" fontId="10" fillId="3" borderId="0" xfId="0" applyFont="1" applyFill="1" applyAlignment="1">
      <alignment horizontal="left" wrapText="1"/>
    </xf>
    <xf numFmtId="0" fontId="6" fillId="3" borderId="0" xfId="0" applyFont="1" applyFill="1" applyAlignment="1">
      <alignment horizontal="left" wrapText="1"/>
    </xf>
    <xf numFmtId="49" fontId="6" fillId="0" borderId="0" xfId="0" applyNumberFormat="1" applyFont="1" applyAlignment="1">
      <alignment horizontal="left"/>
    </xf>
    <xf numFmtId="0" fontId="15" fillId="3" borderId="0" xfId="0" applyFont="1" applyFill="1" applyAlignment="1">
      <alignment wrapText="1"/>
    </xf>
    <xf numFmtId="49" fontId="13" fillId="0" borderId="6" xfId="0" applyNumberFormat="1" applyFont="1" applyBorder="1" applyAlignment="1">
      <alignment wrapText="1"/>
    </xf>
    <xf numFmtId="0" fontId="6" fillId="0" borderId="0" xfId="0" applyFont="1" applyAlignment="1">
      <alignment horizontal="center"/>
    </xf>
    <xf numFmtId="0" fontId="6" fillId="0" borderId="0" xfId="0" applyFont="1" applyAlignment="1">
      <alignment horizontal="center" wrapText="1"/>
    </xf>
    <xf numFmtId="9" fontId="6" fillId="0" borderId="0" xfId="0" applyNumberFormat="1" applyFont="1" applyAlignment="1">
      <alignment horizontal="center"/>
    </xf>
    <xf numFmtId="10" fontId="4" fillId="0" borderId="6" xfId="0" applyNumberFormat="1" applyFont="1" applyBorder="1" applyAlignment="1">
      <alignment horizontal="right"/>
    </xf>
    <xf numFmtId="168" fontId="6" fillId="0" borderId="0" xfId="0" applyNumberFormat="1" applyFont="1" applyAlignment="1">
      <alignment horizontal="center"/>
    </xf>
    <xf numFmtId="1" fontId="6" fillId="0" borderId="0" xfId="0" applyNumberFormat="1" applyFont="1" applyAlignment="1">
      <alignment horizontal="right"/>
    </xf>
    <xf numFmtId="4" fontId="6" fillId="0" borderId="0" xfId="0" applyNumberFormat="1" applyFont="1" applyAlignment="1">
      <alignment horizontal="center"/>
    </xf>
    <xf numFmtId="4" fontId="6" fillId="0" borderId="0" xfId="0" applyNumberFormat="1" applyFont="1" applyAlignment="1">
      <alignment horizontal="right"/>
    </xf>
    <xf numFmtId="49" fontId="13" fillId="0" borderId="6" xfId="0" applyNumberFormat="1" applyFont="1" applyBorder="1" applyAlignment="1">
      <alignment wrapText="1"/>
    </xf>
    <xf numFmtId="0" fontId="4" fillId="0" borderId="0" xfId="0" applyFont="1" applyAlignment="1"/>
    <xf numFmtId="166" fontId="4" fillId="0" borderId="0" xfId="0" applyNumberFormat="1" applyFont="1" applyAlignment="1"/>
    <xf numFmtId="1" fontId="4" fillId="0" borderId="0" xfId="0" applyNumberFormat="1" applyFont="1"/>
    <xf numFmtId="0" fontId="9" fillId="2" borderId="0" xfId="0" applyFont="1" applyFill="1"/>
    <xf numFmtId="0" fontId="16" fillId="0" borderId="0" xfId="0" applyFont="1" applyAlignment="1"/>
    <xf numFmtId="0" fontId="4" fillId="0" borderId="0" xfId="0" applyFont="1" applyAlignment="1">
      <alignment wrapText="1"/>
    </xf>
    <xf numFmtId="0" fontId="6" fillId="0" borderId="5" xfId="0" applyFont="1" applyBorder="1" applyAlignment="1">
      <alignment horizontal="center"/>
    </xf>
    <xf numFmtId="1" fontId="7" fillId="0" borderId="0" xfId="0" applyNumberFormat="1" applyFont="1" applyAlignment="1"/>
    <xf numFmtId="10" fontId="7" fillId="0" borderId="6" xfId="0" applyNumberFormat="1" applyFont="1" applyBorder="1" applyAlignment="1"/>
    <xf numFmtId="0" fontId="6" fillId="0" borderId="5" xfId="0" applyFont="1" applyBorder="1" applyAlignment="1">
      <alignment horizontal="center"/>
    </xf>
    <xf numFmtId="166" fontId="6" fillId="0" borderId="0" xfId="0" applyNumberFormat="1" applyFont="1" applyAlignment="1">
      <alignment horizontal="right"/>
    </xf>
    <xf numFmtId="1" fontId="6" fillId="0" borderId="0" xfId="0" applyNumberFormat="1" applyFont="1" applyAlignment="1">
      <alignment horizontal="right"/>
    </xf>
    <xf numFmtId="3" fontId="6" fillId="0" borderId="0" xfId="0" applyNumberFormat="1" applyFont="1" applyAlignment="1">
      <alignment horizontal="center"/>
    </xf>
    <xf numFmtId="2" fontId="6" fillId="0" borderId="0" xfId="0" applyNumberFormat="1" applyFont="1" applyAlignment="1">
      <alignment horizontal="right"/>
    </xf>
    <xf numFmtId="49" fontId="13" fillId="0" borderId="0" xfId="0" applyNumberFormat="1" applyFont="1" applyAlignment="1">
      <alignment horizontal="left" wrapText="1"/>
    </xf>
    <xf numFmtId="0" fontId="6" fillId="0" borderId="0" xfId="0" applyFont="1" applyAlignment="1">
      <alignment horizontal="right"/>
    </xf>
    <xf numFmtId="4" fontId="6" fillId="0" borderId="6" xfId="0" applyNumberFormat="1" applyFont="1" applyBorder="1" applyAlignment="1">
      <alignment horizontal="right"/>
    </xf>
    <xf numFmtId="4" fontId="6" fillId="0" borderId="6" xfId="0" applyNumberFormat="1" applyFont="1" applyBorder="1" applyAlignment="1">
      <alignment horizontal="center"/>
    </xf>
    <xf numFmtId="0" fontId="6" fillId="0" borderId="7" xfId="0" applyFont="1" applyBorder="1" applyAlignment="1">
      <alignment horizontal="right"/>
    </xf>
    <xf numFmtId="2" fontId="6" fillId="0" borderId="6" xfId="0" applyNumberFormat="1" applyFont="1" applyBorder="1" applyAlignment="1">
      <alignment horizontal="right"/>
    </xf>
    <xf numFmtId="0" fontId="6" fillId="0" borderId="7" xfId="0" applyFont="1" applyBorder="1" applyAlignment="1">
      <alignment horizontal="center"/>
    </xf>
    <xf numFmtId="10" fontId="6" fillId="0" borderId="0" xfId="0" applyNumberFormat="1" applyFont="1" applyAlignment="1">
      <alignment horizontal="center"/>
    </xf>
    <xf numFmtId="0" fontId="13" fillId="3" borderId="0" xfId="0" applyFont="1" applyFill="1" applyAlignment="1">
      <alignment horizontal="left" wrapText="1"/>
    </xf>
    <xf numFmtId="0" fontId="4" fillId="0" borderId="6" xfId="0" applyFont="1" applyBorder="1" applyAlignment="1">
      <alignment horizontal="right"/>
    </xf>
    <xf numFmtId="0" fontId="6" fillId="4" borderId="6" xfId="0" applyFont="1" applyFill="1" applyBorder="1" applyAlignment="1">
      <alignment horizontal="center"/>
    </xf>
    <xf numFmtId="10" fontId="6" fillId="0" borderId="6" xfId="0" applyNumberFormat="1" applyFont="1" applyBorder="1" applyAlignment="1"/>
    <xf numFmtId="0" fontId="1" fillId="0" borderId="0" xfId="0" applyFont="1" applyAlignment="1"/>
    <xf numFmtId="169" fontId="6"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546100</xdr:colOff>
      <xdr:row>12</xdr:row>
      <xdr:rowOff>393700</xdr:rowOff>
    </xdr:to>
    <xdr:sp macro="" textlink="">
      <xdr:nvSpPr>
        <xdr:cNvPr id="1034" name="Text Box 10" hidden="1">
          <a:extLst>
            <a:ext uri="{FF2B5EF4-FFF2-40B4-BE49-F238E27FC236}">
              <a16:creationId xmlns:a16="http://schemas.microsoft.com/office/drawing/2014/main" id="{6640CD08-B980-B843-B29A-888CB900557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546100</xdr:colOff>
      <xdr:row>12</xdr:row>
      <xdr:rowOff>393700</xdr:rowOff>
    </xdr:to>
    <xdr:sp macro="" textlink="">
      <xdr:nvSpPr>
        <xdr:cNvPr id="2" name="AutoShape 10">
          <a:extLst>
            <a:ext uri="{FF2B5EF4-FFF2-40B4-BE49-F238E27FC236}">
              <a16:creationId xmlns:a16="http://schemas.microsoft.com/office/drawing/2014/main" id="{119405BF-7F42-0743-86D0-1A482AD51296}"/>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546100</xdr:colOff>
      <xdr:row>12</xdr:row>
      <xdr:rowOff>393700</xdr:rowOff>
    </xdr:to>
    <xdr:sp macro="" textlink="">
      <xdr:nvSpPr>
        <xdr:cNvPr id="3" name="AutoShape 10">
          <a:extLst>
            <a:ext uri="{FF2B5EF4-FFF2-40B4-BE49-F238E27FC236}">
              <a16:creationId xmlns:a16="http://schemas.microsoft.com/office/drawing/2014/main" id="{897EA2DD-E4BD-5945-B011-FC0FF39DC956}"/>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O41"/>
  <sheetViews>
    <sheetView tabSelected="1" zoomScaleNormal="100" workbookViewId="0">
      <pane xSplit="1" ySplit="1" topLeftCell="Z12" activePane="bottomRight" state="frozen"/>
      <selection pane="topRight" activeCell="B1" sqref="B1"/>
      <selection pane="bottomLeft" activeCell="A2" sqref="A2"/>
      <selection pane="bottomRight" activeCell="AB16" sqref="AB16"/>
    </sheetView>
  </sheetViews>
  <sheetFormatPr baseColWidth="10" defaultColWidth="14.5" defaultRowHeight="15.75" customHeight="1" x14ac:dyDescent="0.15"/>
  <cols>
    <col min="1" max="1" width="20.1640625" customWidth="1"/>
    <col min="2" max="2" width="20" customWidth="1"/>
    <col min="3" max="3" width="16.5" customWidth="1"/>
    <col min="4" max="4" width="15.83203125" customWidth="1"/>
    <col min="19" max="19" width="15.6640625" customWidth="1"/>
    <col min="20" max="20" width="22.1640625" customWidth="1"/>
    <col min="21" max="21" width="20.5" customWidth="1"/>
    <col min="22" max="22" width="41.1640625" customWidth="1"/>
    <col min="23" max="23" width="16.33203125" customWidth="1"/>
    <col min="24" max="24" width="20.5" customWidth="1"/>
    <col min="25" max="25" width="16.83203125" customWidth="1"/>
    <col min="26" max="26" width="21.33203125" customWidth="1"/>
    <col min="27" max="27" width="10" customWidth="1"/>
    <col min="28" max="29" width="16.5" customWidth="1"/>
    <col min="30" max="30" width="8.83203125" customWidth="1"/>
    <col min="33" max="33" width="4.33203125" customWidth="1"/>
    <col min="34" max="34" width="4.5" customWidth="1"/>
    <col min="35" max="36" width="11.5" customWidth="1"/>
    <col min="37" max="37" width="4.33203125" customWidth="1"/>
    <col min="38" max="38" width="38.33203125" customWidth="1"/>
    <col min="39" max="39" width="23" customWidth="1"/>
    <col min="45" max="45" width="19.5" customWidth="1"/>
    <col min="47" max="47" width="15.5" customWidth="1"/>
    <col min="53" max="53" width="19" customWidth="1"/>
    <col min="55" max="55" width="14.83203125" customWidth="1"/>
    <col min="61" max="61" width="19" customWidth="1"/>
    <col min="63" max="63" width="14.83203125" customWidth="1"/>
    <col min="69" max="69" width="19" customWidth="1"/>
    <col min="71" max="71" width="14.83203125" customWidth="1"/>
    <col min="77" max="77" width="19" customWidth="1"/>
    <col min="79" max="79" width="14.83203125" customWidth="1"/>
    <col min="85" max="85" width="19.83203125" customWidth="1"/>
    <col min="87" max="87" width="14.83203125" customWidth="1"/>
    <col min="93" max="93" width="19" customWidth="1"/>
    <col min="95" max="95" width="14.83203125" customWidth="1"/>
    <col min="101" max="101" width="19" customWidth="1"/>
    <col min="103" max="103" width="14.83203125" customWidth="1"/>
    <col min="109" max="109" width="19" customWidth="1"/>
    <col min="111" max="116" width="14.83203125" customWidth="1"/>
    <col min="117" max="117" width="20" customWidth="1"/>
    <col min="118" max="118" width="14.83203125" customWidth="1"/>
    <col min="119" max="119" width="16" customWidth="1"/>
  </cols>
  <sheetData>
    <row r="1" spans="1:119" ht="16" x14ac:dyDescent="0.2">
      <c r="A1" s="1" t="s">
        <v>0</v>
      </c>
      <c r="B1" s="2" t="s">
        <v>1</v>
      </c>
      <c r="C1" s="2" t="s">
        <v>2</v>
      </c>
      <c r="D1" s="3" t="s">
        <v>3</v>
      </c>
      <c r="E1" s="3" t="s">
        <v>4</v>
      </c>
      <c r="F1" s="3" t="s">
        <v>5</v>
      </c>
      <c r="G1" s="2" t="s">
        <v>6</v>
      </c>
      <c r="H1" s="2" t="s">
        <v>7</v>
      </c>
      <c r="I1" s="3" t="s">
        <v>8</v>
      </c>
      <c r="J1" s="2" t="s">
        <v>9</v>
      </c>
      <c r="K1" s="4" t="s">
        <v>10</v>
      </c>
      <c r="L1" s="3" t="s">
        <v>11</v>
      </c>
      <c r="M1" s="5" t="s">
        <v>12</v>
      </c>
      <c r="N1" s="6" t="s">
        <v>13</v>
      </c>
      <c r="O1" s="5" t="s">
        <v>14</v>
      </c>
      <c r="P1" s="7" t="s">
        <v>15</v>
      </c>
      <c r="Q1" s="7" t="s">
        <v>16</v>
      </c>
      <c r="R1" s="7" t="s">
        <v>17</v>
      </c>
      <c r="S1" s="8" t="s">
        <v>18</v>
      </c>
      <c r="T1" s="9" t="s">
        <v>19</v>
      </c>
      <c r="U1" s="3" t="s">
        <v>20</v>
      </c>
      <c r="V1" s="10" t="s">
        <v>21</v>
      </c>
      <c r="W1" s="11" t="s">
        <v>22</v>
      </c>
      <c r="X1" s="11" t="s">
        <v>23</v>
      </c>
      <c r="Y1" s="11" t="s">
        <v>24</v>
      </c>
      <c r="Z1" s="11" t="s">
        <v>25</v>
      </c>
      <c r="AA1" s="11" t="s">
        <v>26</v>
      </c>
      <c r="AB1" s="11" t="s">
        <v>27</v>
      </c>
      <c r="AC1" s="11" t="s">
        <v>28</v>
      </c>
      <c r="AD1" s="11" t="s">
        <v>29</v>
      </c>
      <c r="AE1" s="12" t="s">
        <v>30</v>
      </c>
      <c r="AF1" s="12" t="s">
        <v>31</v>
      </c>
      <c r="AG1" s="12" t="s">
        <v>32</v>
      </c>
      <c r="AH1" s="12" t="s">
        <v>33</v>
      </c>
      <c r="AI1" s="12" t="s">
        <v>34</v>
      </c>
      <c r="AJ1" s="12" t="s">
        <v>35</v>
      </c>
      <c r="AK1" s="2" t="s">
        <v>36</v>
      </c>
      <c r="AL1" s="2" t="s">
        <v>37</v>
      </c>
      <c r="AM1" s="13" t="s">
        <v>38</v>
      </c>
      <c r="AN1" s="14" t="s">
        <v>39</v>
      </c>
      <c r="AO1" s="14" t="s">
        <v>40</v>
      </c>
      <c r="AP1" s="15" t="s">
        <v>41</v>
      </c>
      <c r="AQ1" s="16" t="s">
        <v>42</v>
      </c>
      <c r="AR1" s="15" t="s">
        <v>43</v>
      </c>
      <c r="AS1" s="17" t="s">
        <v>44</v>
      </c>
      <c r="AT1" s="15" t="s">
        <v>45</v>
      </c>
      <c r="AU1" s="16" t="s">
        <v>46</v>
      </c>
      <c r="AV1" s="18" t="s">
        <v>47</v>
      </c>
      <c r="AW1" s="18" t="s">
        <v>48</v>
      </c>
      <c r="AX1" s="19" t="s">
        <v>49</v>
      </c>
      <c r="AY1" s="20" t="s">
        <v>50</v>
      </c>
      <c r="AZ1" s="19" t="s">
        <v>51</v>
      </c>
      <c r="BA1" s="21" t="s">
        <v>52</v>
      </c>
      <c r="BB1" s="19" t="s">
        <v>53</v>
      </c>
      <c r="BC1" s="20" t="s">
        <v>54</v>
      </c>
      <c r="BD1" s="14" t="s">
        <v>55</v>
      </c>
      <c r="BE1" s="14" t="s">
        <v>56</v>
      </c>
      <c r="BF1" s="15" t="s">
        <v>57</v>
      </c>
      <c r="BG1" s="16" t="s">
        <v>58</v>
      </c>
      <c r="BH1" s="15" t="s">
        <v>59</v>
      </c>
      <c r="BI1" s="17" t="s">
        <v>60</v>
      </c>
      <c r="BJ1" s="15" t="s">
        <v>61</v>
      </c>
      <c r="BK1" s="16" t="s">
        <v>62</v>
      </c>
      <c r="BL1" s="22" t="s">
        <v>63</v>
      </c>
      <c r="BM1" s="18" t="s">
        <v>64</v>
      </c>
      <c r="BN1" s="19" t="s">
        <v>65</v>
      </c>
      <c r="BO1" s="20" t="s">
        <v>66</v>
      </c>
      <c r="BP1" s="19" t="s">
        <v>67</v>
      </c>
      <c r="BQ1" s="20" t="s">
        <v>68</v>
      </c>
      <c r="BR1" s="19" t="s">
        <v>69</v>
      </c>
      <c r="BS1" s="20" t="s">
        <v>70</v>
      </c>
      <c r="BT1" s="14" t="s">
        <v>71</v>
      </c>
      <c r="BU1" s="14" t="s">
        <v>72</v>
      </c>
      <c r="BV1" s="15" t="s">
        <v>73</v>
      </c>
      <c r="BW1" s="16" t="s">
        <v>74</v>
      </c>
      <c r="BX1" s="15" t="s">
        <v>75</v>
      </c>
      <c r="BY1" s="16" t="s">
        <v>76</v>
      </c>
      <c r="BZ1" s="15" t="s">
        <v>77</v>
      </c>
      <c r="CA1" s="16" t="s">
        <v>78</v>
      </c>
      <c r="CB1" s="18" t="s">
        <v>79</v>
      </c>
      <c r="CC1" s="2" t="s">
        <v>80</v>
      </c>
      <c r="CD1" s="3" t="s">
        <v>81</v>
      </c>
      <c r="CE1" s="23" t="s">
        <v>82</v>
      </c>
      <c r="CF1" s="3" t="s">
        <v>83</v>
      </c>
      <c r="CG1" s="23" t="s">
        <v>84</v>
      </c>
      <c r="CH1" s="3" t="s">
        <v>85</v>
      </c>
      <c r="CI1" s="23" t="s">
        <v>86</v>
      </c>
      <c r="CJ1" s="14" t="s">
        <v>87</v>
      </c>
      <c r="CK1" s="14" t="s">
        <v>88</v>
      </c>
      <c r="CL1" s="15" t="s">
        <v>89</v>
      </c>
      <c r="CM1" s="16" t="s">
        <v>90</v>
      </c>
      <c r="CN1" s="15" t="s">
        <v>91</v>
      </c>
      <c r="CO1" s="16" t="s">
        <v>92</v>
      </c>
      <c r="CP1" s="15" t="s">
        <v>93</v>
      </c>
      <c r="CQ1" s="16" t="s">
        <v>94</v>
      </c>
      <c r="CR1" s="3" t="s">
        <v>95</v>
      </c>
      <c r="CS1" s="3" t="s">
        <v>96</v>
      </c>
      <c r="CT1" s="3" t="s">
        <v>97</v>
      </c>
      <c r="CU1" s="23" t="s">
        <v>98</v>
      </c>
      <c r="CV1" s="24" t="s">
        <v>99</v>
      </c>
      <c r="CW1" s="23" t="s">
        <v>100</v>
      </c>
      <c r="CX1" s="3" t="s">
        <v>101</v>
      </c>
      <c r="CY1" s="23" t="s">
        <v>102</v>
      </c>
      <c r="CZ1" s="15" t="s">
        <v>103</v>
      </c>
      <c r="DA1" s="15" t="s">
        <v>104</v>
      </c>
      <c r="DB1" s="15" t="s">
        <v>105</v>
      </c>
      <c r="DC1" s="16" t="s">
        <v>106</v>
      </c>
      <c r="DD1" s="25" t="s">
        <v>107</v>
      </c>
      <c r="DE1" s="16" t="s">
        <v>108</v>
      </c>
      <c r="DF1" s="15" t="s">
        <v>109</v>
      </c>
      <c r="DG1" s="16" t="s">
        <v>110</v>
      </c>
      <c r="DH1" s="3" t="s">
        <v>111</v>
      </c>
      <c r="DI1" s="3" t="s">
        <v>112</v>
      </c>
      <c r="DJ1" s="3" t="s">
        <v>113</v>
      </c>
      <c r="DK1" s="23" t="s">
        <v>114</v>
      </c>
      <c r="DL1" s="24" t="s">
        <v>115</v>
      </c>
      <c r="DM1" s="23" t="s">
        <v>116</v>
      </c>
      <c r="DN1" s="3" t="s">
        <v>117</v>
      </c>
      <c r="DO1" s="23" t="s">
        <v>118</v>
      </c>
    </row>
    <row r="2" spans="1:119" ht="73" x14ac:dyDescent="0.2">
      <c r="A2" s="26" t="s">
        <v>119</v>
      </c>
      <c r="B2" s="27" t="s">
        <v>120</v>
      </c>
      <c r="C2" s="28" t="s">
        <v>121</v>
      </c>
      <c r="D2" s="29"/>
      <c r="E2" s="30">
        <v>2010</v>
      </c>
      <c r="F2" s="30">
        <v>2011</v>
      </c>
      <c r="G2" s="29"/>
      <c r="H2" s="30" t="s">
        <v>122</v>
      </c>
      <c r="I2" s="30" t="s">
        <v>123</v>
      </c>
      <c r="J2" s="30" t="s">
        <v>123</v>
      </c>
      <c r="K2" s="31" t="s">
        <v>124</v>
      </c>
      <c r="L2" s="32"/>
      <c r="M2" s="32"/>
      <c r="N2" s="33">
        <v>826</v>
      </c>
      <c r="O2" s="32"/>
      <c r="P2" s="33">
        <v>826</v>
      </c>
      <c r="Q2" s="33">
        <f>AR2+AZ2+BH2+BP2</f>
        <v>362</v>
      </c>
      <c r="R2" s="33">
        <f>AT2+BB2+BJ2+BR2</f>
        <v>362</v>
      </c>
      <c r="S2" s="34"/>
      <c r="T2" s="34"/>
      <c r="U2" s="35">
        <f t="shared" ref="U2:U3" si="0">R2/P2</f>
        <v>0.43825665859564167</v>
      </c>
      <c r="V2" s="36" t="s">
        <v>125</v>
      </c>
      <c r="W2" s="37" t="s">
        <v>126</v>
      </c>
      <c r="X2" s="37" t="s">
        <v>127</v>
      </c>
      <c r="Y2" s="37" t="s">
        <v>128</v>
      </c>
      <c r="Z2" s="37"/>
      <c r="AA2" s="37" t="s">
        <v>128</v>
      </c>
      <c r="AB2" s="38"/>
      <c r="AC2" s="38"/>
      <c r="AD2" s="39" t="s">
        <v>126</v>
      </c>
      <c r="AE2" s="38"/>
      <c r="AF2" s="38"/>
      <c r="AG2" s="39" t="s">
        <v>128</v>
      </c>
      <c r="AH2" s="39" t="s">
        <v>128</v>
      </c>
      <c r="AI2" s="38"/>
      <c r="AJ2" s="38"/>
      <c r="AK2" s="30" t="s">
        <v>128</v>
      </c>
      <c r="AL2" s="40" t="s">
        <v>129</v>
      </c>
      <c r="AM2" s="41"/>
      <c r="AN2" s="30">
        <v>0</v>
      </c>
      <c r="AO2" s="30">
        <v>2</v>
      </c>
      <c r="AP2" s="38"/>
      <c r="AQ2" s="42">
        <v>28</v>
      </c>
      <c r="AR2" s="30">
        <v>9</v>
      </c>
      <c r="AS2" s="41"/>
      <c r="AT2" s="30">
        <v>9</v>
      </c>
      <c r="AU2" s="43">
        <f t="shared" ref="AU2:AU3" si="1">AT2/AQ2</f>
        <v>0.32142857142857145</v>
      </c>
      <c r="AV2" s="44">
        <v>3</v>
      </c>
      <c r="AW2" s="30">
        <v>14</v>
      </c>
      <c r="AX2" s="38"/>
      <c r="AY2" s="42">
        <v>300</v>
      </c>
      <c r="AZ2" s="30">
        <v>148</v>
      </c>
      <c r="BA2" s="41"/>
      <c r="BB2" s="30">
        <v>148</v>
      </c>
      <c r="BC2" s="43">
        <f t="shared" ref="BC2:BC3" si="2">BB2/AY2</f>
        <v>0.49333333333333335</v>
      </c>
      <c r="BD2" s="30">
        <v>15</v>
      </c>
      <c r="BE2" s="30">
        <v>45</v>
      </c>
      <c r="BF2" s="38"/>
      <c r="BG2" s="30">
        <v>379</v>
      </c>
      <c r="BH2" s="45">
        <v>165</v>
      </c>
      <c r="BI2" s="41"/>
      <c r="BJ2" s="30">
        <v>165</v>
      </c>
      <c r="BK2" s="46">
        <f t="shared" ref="BK2:BK3" si="3">BJ2/BG2</f>
        <v>0.43535620052770446</v>
      </c>
      <c r="BL2" s="45">
        <v>46</v>
      </c>
      <c r="BM2" s="44">
        <v>89</v>
      </c>
      <c r="BN2" s="47"/>
      <c r="BO2" s="30">
        <v>119</v>
      </c>
      <c r="BP2" s="45">
        <v>40</v>
      </c>
      <c r="BQ2" s="47"/>
      <c r="BR2" s="45">
        <v>40</v>
      </c>
      <c r="BS2" s="48">
        <f t="shared" ref="BS2:BS3" si="4">BR2/BO2</f>
        <v>0.33613445378151263</v>
      </c>
      <c r="BT2" s="49"/>
      <c r="BU2" s="50"/>
      <c r="BV2" s="50"/>
      <c r="BW2" s="51"/>
      <c r="BX2" s="50"/>
      <c r="BY2" s="51"/>
      <c r="BZ2" s="50"/>
      <c r="CA2" s="52"/>
      <c r="CB2" s="49"/>
      <c r="CC2" s="50"/>
      <c r="CD2" s="50"/>
      <c r="CE2" s="51"/>
      <c r="CF2" s="50"/>
      <c r="CG2" s="51"/>
      <c r="CH2" s="50"/>
      <c r="CI2" s="52"/>
      <c r="CJ2" s="50"/>
      <c r="CK2" s="50"/>
      <c r="CL2" s="50"/>
      <c r="CM2" s="51"/>
      <c r="CN2" s="50"/>
      <c r="CO2" s="51"/>
      <c r="CP2" s="50"/>
      <c r="CQ2" s="52"/>
      <c r="CR2" s="50"/>
      <c r="CS2" s="50"/>
      <c r="CT2" s="50"/>
      <c r="CU2" s="51"/>
      <c r="CV2" s="53"/>
      <c r="CW2" s="51"/>
      <c r="CX2" s="50"/>
      <c r="CY2" s="52"/>
      <c r="CZ2" s="54"/>
      <c r="DA2" s="54"/>
      <c r="DB2" s="54"/>
      <c r="DC2" s="55"/>
      <c r="DD2" s="54"/>
      <c r="DE2" s="55"/>
      <c r="DF2" s="54"/>
      <c r="DG2" s="56"/>
      <c r="DH2" s="54"/>
      <c r="DI2" s="54"/>
      <c r="DJ2" s="54"/>
      <c r="DK2" s="55"/>
      <c r="DL2" s="54"/>
      <c r="DM2" s="55"/>
      <c r="DN2" s="54"/>
      <c r="DO2" s="56"/>
    </row>
    <row r="3" spans="1:119" ht="121" x14ac:dyDescent="0.2">
      <c r="A3" s="26" t="s">
        <v>130</v>
      </c>
      <c r="B3" s="57" t="s">
        <v>131</v>
      </c>
      <c r="C3" s="28" t="s">
        <v>132</v>
      </c>
      <c r="D3" s="58" t="s">
        <v>133</v>
      </c>
      <c r="E3" s="59">
        <v>41395</v>
      </c>
      <c r="F3" s="59">
        <v>41760</v>
      </c>
      <c r="G3" s="29"/>
      <c r="H3" s="30" t="s">
        <v>122</v>
      </c>
      <c r="I3" s="60" t="s">
        <v>134</v>
      </c>
      <c r="J3" s="61" t="s">
        <v>135</v>
      </c>
      <c r="K3" s="62" t="s">
        <v>136</v>
      </c>
      <c r="L3" s="30"/>
      <c r="M3" s="29"/>
      <c r="N3" s="63">
        <v>257</v>
      </c>
      <c r="O3" s="29"/>
      <c r="P3" s="33">
        <v>257</v>
      </c>
      <c r="Q3" s="64">
        <v>155</v>
      </c>
      <c r="R3" s="33">
        <v>75</v>
      </c>
      <c r="S3" s="34"/>
      <c r="T3" s="34"/>
      <c r="U3" s="35">
        <f t="shared" si="0"/>
        <v>0.29182879377431908</v>
      </c>
      <c r="V3" s="36" t="s">
        <v>137</v>
      </c>
      <c r="W3" s="37" t="s">
        <v>128</v>
      </c>
      <c r="X3" s="37"/>
      <c r="Y3" s="37" t="s">
        <v>128</v>
      </c>
      <c r="Z3" s="37"/>
      <c r="AA3" s="37" t="s">
        <v>128</v>
      </c>
      <c r="AB3" s="38"/>
      <c r="AC3" s="38"/>
      <c r="AD3" s="65" t="s">
        <v>126</v>
      </c>
      <c r="AE3" s="38"/>
      <c r="AF3" s="38"/>
      <c r="AG3" s="65" t="s">
        <v>128</v>
      </c>
      <c r="AH3" s="65" t="s">
        <v>128</v>
      </c>
      <c r="AI3" s="38"/>
      <c r="AJ3" s="38"/>
      <c r="AK3" s="66" t="s">
        <v>126</v>
      </c>
      <c r="AL3" s="40" t="s">
        <v>138</v>
      </c>
      <c r="AM3" s="67" t="s">
        <v>139</v>
      </c>
      <c r="AN3" s="30">
        <v>2</v>
      </c>
      <c r="AO3" s="30">
        <v>15</v>
      </c>
      <c r="AP3" s="38"/>
      <c r="AQ3" s="42">
        <v>68</v>
      </c>
      <c r="AR3" s="38"/>
      <c r="AS3" s="41"/>
      <c r="AT3" s="30">
        <v>12</v>
      </c>
      <c r="AU3" s="43">
        <f t="shared" si="1"/>
        <v>0.17647058823529413</v>
      </c>
      <c r="AV3" s="44">
        <v>16</v>
      </c>
      <c r="AW3" s="30">
        <v>29</v>
      </c>
      <c r="AX3" s="38"/>
      <c r="AY3" s="42">
        <v>68</v>
      </c>
      <c r="AZ3" s="68"/>
      <c r="BA3" s="41"/>
      <c r="BB3" s="30">
        <v>18</v>
      </c>
      <c r="BC3" s="43">
        <f t="shared" si="2"/>
        <v>0.26470588235294118</v>
      </c>
      <c r="BD3" s="30">
        <v>30</v>
      </c>
      <c r="BE3" s="30">
        <v>45</v>
      </c>
      <c r="BF3" s="38"/>
      <c r="BG3" s="30">
        <v>92</v>
      </c>
      <c r="BH3" s="68"/>
      <c r="BI3" s="41"/>
      <c r="BJ3" s="30">
        <v>37</v>
      </c>
      <c r="BK3" s="46">
        <f t="shared" si="3"/>
        <v>0.40217391304347827</v>
      </c>
      <c r="BL3" s="30">
        <v>46</v>
      </c>
      <c r="BM3" s="44">
        <v>60</v>
      </c>
      <c r="BN3" s="47"/>
      <c r="BO3" s="30">
        <v>27</v>
      </c>
      <c r="BP3" s="68"/>
      <c r="BQ3" s="47"/>
      <c r="BR3" s="45">
        <v>7</v>
      </c>
      <c r="BS3" s="48">
        <f t="shared" si="4"/>
        <v>0.25925925925925924</v>
      </c>
      <c r="BT3" s="45">
        <v>61</v>
      </c>
      <c r="BU3" s="44">
        <v>75</v>
      </c>
      <c r="BV3" s="47"/>
      <c r="BW3" s="30">
        <v>2</v>
      </c>
      <c r="BX3" s="68"/>
      <c r="BY3" s="47"/>
      <c r="BZ3" s="45">
        <v>1</v>
      </c>
      <c r="CA3" s="48">
        <f>BZ3/BW3</f>
        <v>0.5</v>
      </c>
      <c r="CB3" s="49"/>
      <c r="CC3" s="50"/>
      <c r="CD3" s="50"/>
      <c r="CE3" s="51"/>
      <c r="CF3" s="50"/>
      <c r="CG3" s="51"/>
      <c r="CH3" s="50"/>
      <c r="CI3" s="52"/>
      <c r="CJ3" s="50"/>
      <c r="CK3" s="50"/>
      <c r="CL3" s="50"/>
      <c r="CM3" s="51"/>
      <c r="CN3" s="50"/>
      <c r="CO3" s="51"/>
      <c r="CP3" s="50"/>
      <c r="CQ3" s="52"/>
      <c r="CR3" s="50"/>
      <c r="CS3" s="50"/>
      <c r="CT3" s="50"/>
      <c r="CU3" s="51"/>
      <c r="CV3" s="53"/>
      <c r="CW3" s="51"/>
      <c r="CX3" s="50"/>
      <c r="CY3" s="52"/>
      <c r="CZ3" s="54"/>
      <c r="DA3" s="54"/>
      <c r="DB3" s="54"/>
      <c r="DC3" s="55"/>
      <c r="DD3" s="54"/>
      <c r="DE3" s="55"/>
      <c r="DF3" s="54"/>
      <c r="DG3" s="56"/>
      <c r="DH3" s="54"/>
      <c r="DI3" s="54"/>
      <c r="DJ3" s="54"/>
      <c r="DK3" s="55"/>
      <c r="DL3" s="54"/>
      <c r="DM3" s="55"/>
      <c r="DN3" s="54"/>
      <c r="DO3" s="56"/>
    </row>
    <row r="4" spans="1:119" ht="133" x14ac:dyDescent="0.2">
      <c r="A4" s="26" t="s">
        <v>140</v>
      </c>
      <c r="B4" s="57" t="s">
        <v>141</v>
      </c>
      <c r="C4" s="69" t="s">
        <v>142</v>
      </c>
      <c r="D4" s="29"/>
      <c r="E4" s="30">
        <v>1999</v>
      </c>
      <c r="F4" s="30">
        <v>2004</v>
      </c>
      <c r="G4" s="70">
        <v>5</v>
      </c>
      <c r="H4" s="30" t="s">
        <v>143</v>
      </c>
      <c r="I4" s="30" t="s">
        <v>144</v>
      </c>
      <c r="J4" s="61" t="s">
        <v>145</v>
      </c>
      <c r="K4" s="62"/>
      <c r="L4" s="30">
        <v>2</v>
      </c>
      <c r="M4" s="29"/>
      <c r="N4" s="63">
        <v>2203</v>
      </c>
      <c r="O4" s="29"/>
      <c r="P4" s="29"/>
      <c r="Q4" s="64">
        <v>43</v>
      </c>
      <c r="R4" s="32"/>
      <c r="S4" s="71">
        <v>5</v>
      </c>
      <c r="T4" s="72">
        <v>6.5</v>
      </c>
      <c r="U4" s="32"/>
      <c r="V4" s="36" t="s">
        <v>146</v>
      </c>
      <c r="W4" s="37" t="s">
        <v>147</v>
      </c>
      <c r="X4" s="37"/>
      <c r="Y4" s="37" t="s">
        <v>147</v>
      </c>
      <c r="Z4" s="37"/>
      <c r="AA4" s="37" t="s">
        <v>128</v>
      </c>
      <c r="AB4" s="38"/>
      <c r="AC4" s="38"/>
      <c r="AD4" s="65" t="s">
        <v>126</v>
      </c>
      <c r="AE4" s="38"/>
      <c r="AF4" s="38"/>
      <c r="AG4" s="65" t="s">
        <v>128</v>
      </c>
      <c r="AH4" s="65" t="s">
        <v>128</v>
      </c>
      <c r="AI4" s="38"/>
      <c r="AJ4" s="38"/>
      <c r="AK4" s="66" t="s">
        <v>128</v>
      </c>
      <c r="AL4" s="40" t="s">
        <v>148</v>
      </c>
      <c r="AM4" s="41"/>
      <c r="AN4" s="30">
        <v>0</v>
      </c>
      <c r="AO4" s="30">
        <v>4</v>
      </c>
      <c r="AP4" s="30">
        <v>300</v>
      </c>
      <c r="AQ4" s="41"/>
      <c r="AR4" s="38"/>
      <c r="AS4" s="73">
        <f>0.3*10/S4</f>
        <v>0.6</v>
      </c>
      <c r="AT4" s="68"/>
      <c r="AU4" s="74"/>
      <c r="AV4" s="30">
        <v>5</v>
      </c>
      <c r="AW4" s="30">
        <v>14</v>
      </c>
      <c r="AX4" s="30">
        <v>627</v>
      </c>
      <c r="AY4" s="38"/>
      <c r="AZ4" s="68"/>
      <c r="BA4" s="73">
        <f>1.9*10/S4</f>
        <v>3.8</v>
      </c>
      <c r="BB4" s="38"/>
      <c r="BC4" s="41"/>
      <c r="BD4" s="30">
        <v>15</v>
      </c>
      <c r="BE4" s="30">
        <v>40</v>
      </c>
      <c r="BF4" s="75">
        <v>936</v>
      </c>
      <c r="BG4" s="38"/>
      <c r="BH4" s="68"/>
      <c r="BI4" s="76">
        <f>2.8*10/S4</f>
        <v>5.6</v>
      </c>
      <c r="BJ4" s="68"/>
      <c r="BK4" s="74"/>
      <c r="BL4" s="30">
        <v>41</v>
      </c>
      <c r="BM4" s="44">
        <v>89</v>
      </c>
      <c r="BN4" s="75">
        <v>338</v>
      </c>
      <c r="BO4" s="38"/>
      <c r="BP4" s="68"/>
      <c r="BQ4" s="77">
        <f>3*10/S4</f>
        <v>6</v>
      </c>
      <c r="BR4" s="68"/>
      <c r="BS4" s="38"/>
      <c r="BT4" s="49"/>
      <c r="BU4" s="50"/>
      <c r="BV4" s="50"/>
      <c r="BW4" s="51"/>
      <c r="BX4" s="50"/>
      <c r="BY4" s="51"/>
      <c r="BZ4" s="50"/>
      <c r="CA4" s="52"/>
      <c r="CB4" s="49"/>
      <c r="CC4" s="50"/>
      <c r="CD4" s="50"/>
      <c r="CE4" s="51"/>
      <c r="CF4" s="50"/>
      <c r="CG4" s="51"/>
      <c r="CH4" s="50"/>
      <c r="CI4" s="52"/>
      <c r="CJ4" s="50"/>
      <c r="CK4" s="50"/>
      <c r="CL4" s="50"/>
      <c r="CM4" s="51"/>
      <c r="CN4" s="50"/>
      <c r="CO4" s="51"/>
      <c r="CP4" s="50"/>
      <c r="CQ4" s="52"/>
      <c r="CR4" s="50"/>
      <c r="CS4" s="50"/>
      <c r="CT4" s="50"/>
      <c r="CU4" s="51"/>
      <c r="CV4" s="53"/>
      <c r="CW4" s="51"/>
      <c r="CX4" s="50"/>
      <c r="CY4" s="52"/>
      <c r="CZ4" s="54"/>
      <c r="DA4" s="54"/>
      <c r="DB4" s="54"/>
      <c r="DC4" s="55"/>
      <c r="DD4" s="54"/>
      <c r="DE4" s="55"/>
      <c r="DF4" s="54"/>
      <c r="DG4" s="56"/>
      <c r="DH4" s="54"/>
      <c r="DI4" s="54"/>
      <c r="DJ4" s="54"/>
      <c r="DK4" s="55"/>
      <c r="DL4" s="54"/>
      <c r="DM4" s="55"/>
      <c r="DN4" s="54"/>
      <c r="DO4" s="56"/>
    </row>
    <row r="5" spans="1:119" ht="85" x14ac:dyDescent="0.2">
      <c r="A5" s="26" t="s">
        <v>149</v>
      </c>
      <c r="B5" s="57" t="s">
        <v>141</v>
      </c>
      <c r="C5" s="78" t="s">
        <v>150</v>
      </c>
      <c r="D5" s="79" t="s">
        <v>151</v>
      </c>
      <c r="E5" s="80">
        <v>36526</v>
      </c>
      <c r="F5" s="80">
        <v>37986</v>
      </c>
      <c r="G5" s="70">
        <v>3</v>
      </c>
      <c r="H5" s="30" t="s">
        <v>122</v>
      </c>
      <c r="I5" s="30" t="s">
        <v>123</v>
      </c>
      <c r="J5" s="81" t="s">
        <v>123</v>
      </c>
      <c r="K5" s="62" t="s">
        <v>152</v>
      </c>
      <c r="L5" s="30">
        <v>1</v>
      </c>
      <c r="M5" s="63">
        <v>2439</v>
      </c>
      <c r="N5" s="64">
        <v>2289</v>
      </c>
      <c r="O5" s="82">
        <f>M5-N5</f>
        <v>150</v>
      </c>
      <c r="P5" s="64">
        <v>2289</v>
      </c>
      <c r="Q5" s="64">
        <v>155</v>
      </c>
      <c r="R5" s="32"/>
      <c r="S5" s="71">
        <v>3</v>
      </c>
      <c r="T5" s="83">
        <f t="shared" ref="T5:T6" si="5">Q5/N5/S5*1000</f>
        <v>22.571719819426239</v>
      </c>
      <c r="U5" s="32"/>
      <c r="V5" s="36" t="s">
        <v>153</v>
      </c>
      <c r="W5" s="37" t="s">
        <v>147</v>
      </c>
      <c r="X5" s="37"/>
      <c r="Y5" s="37" t="s">
        <v>147</v>
      </c>
      <c r="Z5" s="37"/>
      <c r="AA5" s="37" t="s">
        <v>126</v>
      </c>
      <c r="AB5" s="84" t="s">
        <v>154</v>
      </c>
      <c r="AC5" s="38"/>
      <c r="AD5" s="65" t="s">
        <v>126</v>
      </c>
      <c r="AE5" s="38"/>
      <c r="AF5" s="38"/>
      <c r="AG5" s="65" t="s">
        <v>128</v>
      </c>
      <c r="AH5" s="65" t="s">
        <v>128</v>
      </c>
      <c r="AI5" s="38"/>
      <c r="AJ5" s="38"/>
      <c r="AK5" s="66" t="s">
        <v>128</v>
      </c>
      <c r="AL5" s="40" t="s">
        <v>155</v>
      </c>
      <c r="AM5" s="41"/>
      <c r="AN5" s="30">
        <v>0</v>
      </c>
      <c r="AO5" s="30">
        <v>2</v>
      </c>
      <c r="AP5" s="30">
        <v>216</v>
      </c>
      <c r="AQ5" s="38"/>
      <c r="AR5" s="45">
        <v>4</v>
      </c>
      <c r="AS5" s="85">
        <f t="shared" ref="AS5:AS6" si="6">AR5/AP5/S5*1000</f>
        <v>6.1728395061728394</v>
      </c>
      <c r="AT5" s="68"/>
      <c r="AU5" s="74"/>
      <c r="AV5" s="44">
        <v>3</v>
      </c>
      <c r="AW5" s="44">
        <v>14</v>
      </c>
      <c r="AX5" s="44">
        <v>821</v>
      </c>
      <c r="AY5" s="41"/>
      <c r="AZ5" s="86">
        <v>71</v>
      </c>
      <c r="BA5" s="85">
        <f t="shared" ref="BA5:BA6" si="7">AZ5/AX5/S5*1000</f>
        <v>28.826634185952091</v>
      </c>
      <c r="BB5" s="68"/>
      <c r="BC5" s="41"/>
      <c r="BD5" s="30">
        <v>15</v>
      </c>
      <c r="BE5" s="30">
        <v>45</v>
      </c>
      <c r="BF5" s="30">
        <v>1002</v>
      </c>
      <c r="BG5" s="38"/>
      <c r="BH5" s="45">
        <v>74</v>
      </c>
      <c r="BI5" s="76">
        <f t="shared" ref="BI5:BI6" si="8">BH5/BF5/S5*1000</f>
        <v>24.617431803060544</v>
      </c>
      <c r="BJ5" s="38"/>
      <c r="BK5" s="74"/>
      <c r="BL5" s="86">
        <v>46</v>
      </c>
      <c r="BM5" s="44">
        <v>99</v>
      </c>
      <c r="BN5" s="30">
        <v>250</v>
      </c>
      <c r="BO5" s="38"/>
      <c r="BP5" s="45">
        <v>6</v>
      </c>
      <c r="BQ5" s="83">
        <f t="shared" ref="BQ5:BQ6" si="9">BP5/BN5/S5*1000</f>
        <v>8</v>
      </c>
      <c r="BR5" s="68"/>
      <c r="BS5" s="38"/>
      <c r="BT5" s="49"/>
      <c r="BU5" s="50"/>
      <c r="BV5" s="50"/>
      <c r="BW5" s="51"/>
      <c r="BX5" s="50"/>
      <c r="BY5" s="51"/>
      <c r="BZ5" s="50"/>
      <c r="CA5" s="52"/>
      <c r="CB5" s="49"/>
      <c r="CC5" s="50"/>
      <c r="CD5" s="50"/>
      <c r="CE5" s="51"/>
      <c r="CF5" s="50"/>
      <c r="CG5" s="51"/>
      <c r="CH5" s="50"/>
      <c r="CI5" s="52"/>
      <c r="CJ5" s="50"/>
      <c r="CK5" s="50"/>
      <c r="CL5" s="50"/>
      <c r="CM5" s="51"/>
      <c r="CN5" s="50"/>
      <c r="CO5" s="51"/>
      <c r="CP5" s="50"/>
      <c r="CQ5" s="52"/>
      <c r="CR5" s="50"/>
      <c r="CS5" s="50"/>
      <c r="CT5" s="50"/>
      <c r="CU5" s="51"/>
      <c r="CV5" s="53"/>
      <c r="CW5" s="51"/>
      <c r="CX5" s="50"/>
      <c r="CY5" s="52"/>
      <c r="CZ5" s="54"/>
      <c r="DA5" s="54"/>
      <c r="DB5" s="54"/>
      <c r="DC5" s="55"/>
      <c r="DD5" s="54"/>
      <c r="DE5" s="55"/>
      <c r="DF5" s="54"/>
      <c r="DG5" s="56"/>
      <c r="DH5" s="54"/>
      <c r="DI5" s="54"/>
      <c r="DJ5" s="54"/>
      <c r="DK5" s="55"/>
      <c r="DL5" s="54"/>
      <c r="DM5" s="55"/>
      <c r="DN5" s="54"/>
      <c r="DO5" s="56"/>
    </row>
    <row r="6" spans="1:119" ht="85" x14ac:dyDescent="0.2">
      <c r="A6" s="26" t="s">
        <v>149</v>
      </c>
      <c r="B6" s="57" t="s">
        <v>156</v>
      </c>
      <c r="C6" s="78" t="s">
        <v>157</v>
      </c>
      <c r="D6" s="79" t="s">
        <v>151</v>
      </c>
      <c r="E6" s="80">
        <v>36161</v>
      </c>
      <c r="F6" s="87">
        <v>38168</v>
      </c>
      <c r="G6" s="70">
        <v>3</v>
      </c>
      <c r="H6" s="30" t="s">
        <v>122</v>
      </c>
      <c r="I6" s="30" t="s">
        <v>123</v>
      </c>
      <c r="J6" s="81" t="s">
        <v>123</v>
      </c>
      <c r="K6" s="62" t="s">
        <v>152</v>
      </c>
      <c r="L6" s="30">
        <v>1</v>
      </c>
      <c r="M6" s="63">
        <v>2507</v>
      </c>
      <c r="N6" s="64">
        <v>2507</v>
      </c>
      <c r="O6" s="88"/>
      <c r="P6" s="89"/>
      <c r="Q6" s="64">
        <v>182</v>
      </c>
      <c r="R6" s="32"/>
      <c r="S6" s="90">
        <v>5.5</v>
      </c>
      <c r="T6" s="83">
        <f t="shared" si="5"/>
        <v>13.199405301519382</v>
      </c>
      <c r="U6" s="32"/>
      <c r="V6" s="36" t="s">
        <v>158</v>
      </c>
      <c r="W6" s="37" t="s">
        <v>147</v>
      </c>
      <c r="X6" s="37"/>
      <c r="Y6" s="37" t="s">
        <v>147</v>
      </c>
      <c r="Z6" s="37"/>
      <c r="AA6" s="37" t="s">
        <v>126</v>
      </c>
      <c r="AB6" s="84" t="s">
        <v>154</v>
      </c>
      <c r="AC6" s="38"/>
      <c r="AD6" s="65" t="s">
        <v>126</v>
      </c>
      <c r="AE6" s="38"/>
      <c r="AF6" s="38"/>
      <c r="AG6" s="65" t="s">
        <v>128</v>
      </c>
      <c r="AH6" s="65" t="s">
        <v>128</v>
      </c>
      <c r="AI6" s="38"/>
      <c r="AJ6" s="38"/>
      <c r="AK6" s="65" t="s">
        <v>128</v>
      </c>
      <c r="AL6" s="40" t="s">
        <v>155</v>
      </c>
      <c r="AM6" s="41"/>
      <c r="AN6" s="30">
        <v>0</v>
      </c>
      <c r="AO6" s="30">
        <v>4</v>
      </c>
      <c r="AP6" s="30">
        <v>333</v>
      </c>
      <c r="AQ6" s="38"/>
      <c r="AR6" s="45">
        <v>22</v>
      </c>
      <c r="AS6" s="85">
        <f t="shared" si="6"/>
        <v>12.012012012012011</v>
      </c>
      <c r="AT6" s="68"/>
      <c r="AU6" s="74"/>
      <c r="AV6" s="44">
        <v>5</v>
      </c>
      <c r="AW6" s="44">
        <v>14</v>
      </c>
      <c r="AX6" s="44">
        <v>683</v>
      </c>
      <c r="AY6" s="41"/>
      <c r="AZ6" s="86">
        <v>71</v>
      </c>
      <c r="BA6" s="85">
        <f t="shared" si="7"/>
        <v>18.900572341275122</v>
      </c>
      <c r="BB6" s="68"/>
      <c r="BC6" s="41"/>
      <c r="BD6" s="30">
        <v>15</v>
      </c>
      <c r="BE6" s="30">
        <v>24</v>
      </c>
      <c r="BF6" s="30">
        <v>450</v>
      </c>
      <c r="BG6" s="38"/>
      <c r="BH6" s="45">
        <v>41</v>
      </c>
      <c r="BI6" s="76">
        <f t="shared" si="8"/>
        <v>16.565656565656564</v>
      </c>
      <c r="BJ6" s="38"/>
      <c r="BK6" s="74"/>
      <c r="BL6" s="86">
        <v>25</v>
      </c>
      <c r="BM6" s="44">
        <v>34</v>
      </c>
      <c r="BN6" s="30">
        <v>336</v>
      </c>
      <c r="BO6" s="38"/>
      <c r="BP6" s="45">
        <v>27</v>
      </c>
      <c r="BQ6" s="83">
        <f t="shared" si="9"/>
        <v>14.610389610389612</v>
      </c>
      <c r="BR6" s="68"/>
      <c r="BS6" s="38"/>
      <c r="BT6" s="45">
        <v>35</v>
      </c>
      <c r="BU6" s="30">
        <v>44</v>
      </c>
      <c r="BV6" s="30">
        <v>253</v>
      </c>
      <c r="BW6" s="91"/>
      <c r="BX6" s="30">
        <v>13</v>
      </c>
      <c r="BY6" s="92">
        <f>BX6/BV6/S6*1000</f>
        <v>9.3424362199065758</v>
      </c>
      <c r="BZ6" s="93"/>
      <c r="CA6" s="94"/>
      <c r="CB6" s="45">
        <v>45</v>
      </c>
      <c r="CC6" s="30">
        <v>54</v>
      </c>
      <c r="CD6" s="30">
        <v>172</v>
      </c>
      <c r="CE6" s="91"/>
      <c r="CF6" s="30">
        <v>5</v>
      </c>
      <c r="CG6" s="92">
        <f>CF6/CD6/S6*1000</f>
        <v>5.2854122621564485</v>
      </c>
      <c r="CH6" s="93"/>
      <c r="CI6" s="94"/>
      <c r="CJ6" s="30">
        <v>55</v>
      </c>
      <c r="CK6" s="44">
        <v>99</v>
      </c>
      <c r="CL6" s="30">
        <v>174</v>
      </c>
      <c r="CM6" s="91"/>
      <c r="CN6" s="30">
        <v>3</v>
      </c>
      <c r="CO6" s="92">
        <f>CN6/CL6/S6*1000</f>
        <v>3.134796238244514</v>
      </c>
      <c r="CP6" s="93"/>
      <c r="CQ6" s="94"/>
      <c r="CR6" s="50"/>
      <c r="CS6" s="50"/>
      <c r="CT6" s="50"/>
      <c r="CU6" s="51"/>
      <c r="CV6" s="53"/>
      <c r="CW6" s="51"/>
      <c r="CX6" s="50"/>
      <c r="CY6" s="52"/>
      <c r="CZ6" s="54"/>
      <c r="DA6" s="54"/>
      <c r="DB6" s="54"/>
      <c r="DC6" s="55"/>
      <c r="DD6" s="54"/>
      <c r="DE6" s="55"/>
      <c r="DF6" s="54"/>
      <c r="DG6" s="56"/>
      <c r="DH6" s="54"/>
      <c r="DI6" s="54"/>
      <c r="DJ6" s="54"/>
      <c r="DK6" s="55"/>
      <c r="DL6" s="54"/>
      <c r="DM6" s="55"/>
      <c r="DN6" s="54"/>
      <c r="DO6" s="56"/>
    </row>
    <row r="7" spans="1:119" ht="133" x14ac:dyDescent="0.2">
      <c r="A7" s="26" t="s">
        <v>159</v>
      </c>
      <c r="B7" s="57" t="s">
        <v>160</v>
      </c>
      <c r="C7" s="69" t="s">
        <v>161</v>
      </c>
      <c r="D7" s="79" t="s">
        <v>151</v>
      </c>
      <c r="E7" s="30">
        <v>2002</v>
      </c>
      <c r="F7" s="30">
        <v>2002</v>
      </c>
      <c r="G7" s="29"/>
      <c r="H7" s="30" t="s">
        <v>122</v>
      </c>
      <c r="I7" s="30" t="s">
        <v>123</v>
      </c>
      <c r="J7" s="81" t="s">
        <v>123</v>
      </c>
      <c r="K7" s="62" t="s">
        <v>152</v>
      </c>
      <c r="L7" s="30">
        <v>1</v>
      </c>
      <c r="M7" s="32"/>
      <c r="N7" s="64">
        <v>1763</v>
      </c>
      <c r="O7" s="82">
        <f>N7-P7</f>
        <v>233</v>
      </c>
      <c r="P7" s="64">
        <v>1530</v>
      </c>
      <c r="Q7" s="32"/>
      <c r="R7" s="64">
        <v>530</v>
      </c>
      <c r="S7" s="32"/>
      <c r="T7" s="32"/>
      <c r="U7" s="35">
        <f t="shared" ref="U7:U13" si="10">R7/P7</f>
        <v>0.34640522875816993</v>
      </c>
      <c r="V7" s="36" t="s">
        <v>162</v>
      </c>
      <c r="W7" s="37" t="s">
        <v>126</v>
      </c>
      <c r="X7" s="37" t="s">
        <v>163</v>
      </c>
      <c r="Y7" s="37" t="s">
        <v>126</v>
      </c>
      <c r="Z7" s="37" t="s">
        <v>164</v>
      </c>
      <c r="AA7" s="37" t="s">
        <v>126</v>
      </c>
      <c r="AB7" s="38"/>
      <c r="AC7" s="38"/>
      <c r="AD7" s="65" t="s">
        <v>126</v>
      </c>
      <c r="AE7" s="38"/>
      <c r="AF7" s="38"/>
      <c r="AG7" s="65" t="s">
        <v>126</v>
      </c>
      <c r="AH7" s="65" t="s">
        <v>128</v>
      </c>
      <c r="AI7" s="38"/>
      <c r="AJ7" s="38"/>
      <c r="AK7" s="66" t="s">
        <v>128</v>
      </c>
      <c r="AL7" s="95" t="s">
        <v>165</v>
      </c>
      <c r="AM7" s="67" t="s">
        <v>166</v>
      </c>
      <c r="AN7" s="30">
        <v>3</v>
      </c>
      <c r="AO7" s="30">
        <v>9</v>
      </c>
      <c r="AP7" s="38"/>
      <c r="AQ7" s="96">
        <v>411</v>
      </c>
      <c r="AR7" s="68"/>
      <c r="AS7" s="97"/>
      <c r="AT7" s="98">
        <v>70</v>
      </c>
      <c r="AU7" s="99">
        <f t="shared" ref="AU7:AU13" si="11">AT7/AQ7</f>
        <v>0.170316301703163</v>
      </c>
      <c r="AV7" s="30">
        <v>10</v>
      </c>
      <c r="AW7" s="30">
        <v>19</v>
      </c>
      <c r="AX7" s="38"/>
      <c r="AY7" s="100">
        <v>353</v>
      </c>
      <c r="AZ7" s="68"/>
      <c r="BA7" s="97"/>
      <c r="BB7" s="98">
        <v>114</v>
      </c>
      <c r="BC7" s="99">
        <f t="shared" ref="BC7:BC13" si="12">BB7/AY7</f>
        <v>0.32294617563739375</v>
      </c>
      <c r="BD7" s="30">
        <v>20</v>
      </c>
      <c r="BE7" s="30">
        <v>29</v>
      </c>
      <c r="BF7" s="38"/>
      <c r="BG7" s="100">
        <v>238</v>
      </c>
      <c r="BH7" s="68"/>
      <c r="BI7" s="97"/>
      <c r="BJ7" s="96">
        <v>82</v>
      </c>
      <c r="BK7" s="99">
        <f t="shared" ref="BK7:BK13" si="13">BJ7/BG7</f>
        <v>0.34453781512605042</v>
      </c>
      <c r="BL7" s="45">
        <v>30</v>
      </c>
      <c r="BM7" s="30">
        <v>39</v>
      </c>
      <c r="BN7" s="38"/>
      <c r="BO7" s="96">
        <v>189</v>
      </c>
      <c r="BP7" s="68"/>
      <c r="BQ7" s="101"/>
      <c r="BR7" s="98">
        <v>81</v>
      </c>
      <c r="BS7" s="102">
        <f t="shared" ref="BS7:BS13" si="14">BR7/BO7</f>
        <v>0.42857142857142855</v>
      </c>
      <c r="BT7" s="45">
        <v>40</v>
      </c>
      <c r="BU7" s="30">
        <v>49</v>
      </c>
      <c r="BV7" s="38"/>
      <c r="BW7" s="100">
        <v>166</v>
      </c>
      <c r="BX7" s="38"/>
      <c r="BY7" s="97"/>
      <c r="BZ7" s="96">
        <v>83</v>
      </c>
      <c r="CA7" s="99">
        <f t="shared" ref="CA7:CA10" si="15">BZ7/BW7</f>
        <v>0.5</v>
      </c>
      <c r="CB7" s="45">
        <v>50</v>
      </c>
      <c r="CC7" s="30">
        <v>59</v>
      </c>
      <c r="CD7" s="38"/>
      <c r="CE7" s="100">
        <v>87</v>
      </c>
      <c r="CF7" s="38"/>
      <c r="CG7" s="97"/>
      <c r="CH7" s="96">
        <v>49</v>
      </c>
      <c r="CI7" s="99">
        <f t="shared" ref="CI7:CI10" si="16">CH7/CE7</f>
        <v>0.56321839080459768</v>
      </c>
      <c r="CJ7" s="44">
        <v>60</v>
      </c>
      <c r="CK7" s="44">
        <v>99</v>
      </c>
      <c r="CL7" s="38"/>
      <c r="CM7" s="100">
        <v>86</v>
      </c>
      <c r="CN7" s="38"/>
      <c r="CO7" s="97"/>
      <c r="CP7" s="96">
        <v>51</v>
      </c>
      <c r="CQ7" s="99">
        <f t="shared" ref="CQ7:CQ10" si="17">CP7/CM7</f>
        <v>0.59302325581395354</v>
      </c>
      <c r="CR7" s="50"/>
      <c r="CS7" s="50"/>
      <c r="CT7" s="50"/>
      <c r="CU7" s="51"/>
      <c r="CV7" s="53"/>
      <c r="CW7" s="51"/>
      <c r="CX7" s="50"/>
      <c r="CY7" s="52"/>
      <c r="CZ7" s="54"/>
      <c r="DA7" s="54"/>
      <c r="DB7" s="54"/>
      <c r="DC7" s="55"/>
      <c r="DD7" s="54"/>
      <c r="DE7" s="55"/>
      <c r="DF7" s="54"/>
      <c r="DG7" s="56"/>
      <c r="DH7" s="54"/>
      <c r="DI7" s="54"/>
      <c r="DJ7" s="54"/>
      <c r="DK7" s="55"/>
      <c r="DL7" s="54"/>
      <c r="DM7" s="55"/>
      <c r="DN7" s="54"/>
      <c r="DO7" s="56"/>
    </row>
    <row r="8" spans="1:119" ht="73" x14ac:dyDescent="0.2">
      <c r="A8" s="26" t="s">
        <v>167</v>
      </c>
      <c r="B8" s="57" t="s">
        <v>168</v>
      </c>
      <c r="C8" s="69" t="s">
        <v>169</v>
      </c>
      <c r="D8" s="79" t="s">
        <v>151</v>
      </c>
      <c r="E8" s="30">
        <v>2002</v>
      </c>
      <c r="F8" s="30">
        <v>2002</v>
      </c>
      <c r="G8" s="29"/>
      <c r="H8" s="30" t="s">
        <v>122</v>
      </c>
      <c r="I8" s="30" t="s">
        <v>123</v>
      </c>
      <c r="J8" s="81" t="s">
        <v>123</v>
      </c>
      <c r="K8" s="62" t="s">
        <v>152</v>
      </c>
      <c r="L8" s="30">
        <v>1</v>
      </c>
      <c r="M8" s="32"/>
      <c r="N8" s="64">
        <f>2401+2</f>
        <v>2403</v>
      </c>
      <c r="O8" s="63">
        <v>804</v>
      </c>
      <c r="P8" s="64">
        <v>1599</v>
      </c>
      <c r="Q8" s="32"/>
      <c r="R8" s="64">
        <v>298</v>
      </c>
      <c r="S8" s="32"/>
      <c r="T8" s="32"/>
      <c r="U8" s="103">
        <f t="shared" si="10"/>
        <v>0.18636647904940587</v>
      </c>
      <c r="V8" s="36" t="s">
        <v>170</v>
      </c>
      <c r="W8" s="37" t="s">
        <v>128</v>
      </c>
      <c r="X8" s="37"/>
      <c r="Y8" s="37" t="s">
        <v>126</v>
      </c>
      <c r="Z8" s="37" t="s">
        <v>171</v>
      </c>
      <c r="AA8" s="37" t="s">
        <v>126</v>
      </c>
      <c r="AB8" s="38"/>
      <c r="AC8" s="38"/>
      <c r="AD8" s="65" t="s">
        <v>126</v>
      </c>
      <c r="AE8" s="38"/>
      <c r="AF8" s="38"/>
      <c r="AG8" s="65" t="s">
        <v>126</v>
      </c>
      <c r="AH8" s="65" t="s">
        <v>128</v>
      </c>
      <c r="AI8" s="38"/>
      <c r="AJ8" s="38"/>
      <c r="AK8" s="66" t="s">
        <v>128</v>
      </c>
      <c r="AL8" s="95" t="s">
        <v>172</v>
      </c>
      <c r="AM8" s="67" t="s">
        <v>173</v>
      </c>
      <c r="AN8" s="30">
        <v>3</v>
      </c>
      <c r="AO8" s="30">
        <v>9</v>
      </c>
      <c r="AP8" s="38"/>
      <c r="AQ8" s="96">
        <v>412</v>
      </c>
      <c r="AR8" s="68"/>
      <c r="AS8" s="97"/>
      <c r="AT8" s="98">
        <v>76</v>
      </c>
      <c r="AU8" s="99">
        <f t="shared" si="11"/>
        <v>0.18446601941747573</v>
      </c>
      <c r="AV8" s="30">
        <v>10</v>
      </c>
      <c r="AW8" s="30">
        <v>19</v>
      </c>
      <c r="AX8" s="38"/>
      <c r="AY8" s="100">
        <v>375</v>
      </c>
      <c r="AZ8" s="68"/>
      <c r="BA8" s="97"/>
      <c r="BB8" s="96">
        <v>78</v>
      </c>
      <c r="BC8" s="99">
        <f t="shared" si="12"/>
        <v>0.20799999999999999</v>
      </c>
      <c r="BD8" s="30">
        <v>20</v>
      </c>
      <c r="BE8" s="30">
        <v>29</v>
      </c>
      <c r="BF8" s="38"/>
      <c r="BG8" s="96">
        <v>253</v>
      </c>
      <c r="BH8" s="68"/>
      <c r="BI8" s="97"/>
      <c r="BJ8" s="96">
        <v>49</v>
      </c>
      <c r="BK8" s="99">
        <f t="shared" si="13"/>
        <v>0.19367588932806323</v>
      </c>
      <c r="BL8" s="45">
        <v>30</v>
      </c>
      <c r="BM8" s="30">
        <v>39</v>
      </c>
      <c r="BN8" s="38"/>
      <c r="BO8" s="96">
        <v>204</v>
      </c>
      <c r="BP8" s="68"/>
      <c r="BQ8" s="101"/>
      <c r="BR8" s="98">
        <v>33</v>
      </c>
      <c r="BS8" s="102">
        <f t="shared" si="14"/>
        <v>0.16176470588235295</v>
      </c>
      <c r="BT8" s="45">
        <v>40</v>
      </c>
      <c r="BU8" s="30">
        <v>49</v>
      </c>
      <c r="BV8" s="38"/>
      <c r="BW8" s="100">
        <v>174</v>
      </c>
      <c r="BX8" s="38"/>
      <c r="BY8" s="97"/>
      <c r="BZ8" s="96">
        <v>30</v>
      </c>
      <c r="CA8" s="99">
        <f t="shared" si="15"/>
        <v>0.17241379310344829</v>
      </c>
      <c r="CB8" s="45">
        <v>50</v>
      </c>
      <c r="CC8" s="30">
        <v>59</v>
      </c>
      <c r="CD8" s="38"/>
      <c r="CE8" s="100">
        <v>91</v>
      </c>
      <c r="CF8" s="38"/>
      <c r="CG8" s="97"/>
      <c r="CH8" s="96">
        <v>17</v>
      </c>
      <c r="CI8" s="43">
        <f t="shared" si="16"/>
        <v>0.18681318681318682</v>
      </c>
      <c r="CJ8" s="44">
        <v>60</v>
      </c>
      <c r="CK8" s="44">
        <v>99</v>
      </c>
      <c r="CL8" s="38"/>
      <c r="CM8" s="100">
        <v>89</v>
      </c>
      <c r="CN8" s="38"/>
      <c r="CO8" s="97"/>
      <c r="CP8" s="96">
        <v>15</v>
      </c>
      <c r="CQ8" s="99">
        <f t="shared" si="17"/>
        <v>0.16853932584269662</v>
      </c>
      <c r="CR8" s="50"/>
      <c r="CS8" s="50"/>
      <c r="CT8" s="50"/>
      <c r="CU8" s="51"/>
      <c r="CV8" s="53"/>
      <c r="CW8" s="51"/>
      <c r="CX8" s="50"/>
      <c r="CY8" s="52"/>
      <c r="CZ8" s="54"/>
      <c r="DA8" s="54"/>
      <c r="DB8" s="54"/>
      <c r="DC8" s="55"/>
      <c r="DD8" s="54"/>
      <c r="DE8" s="55"/>
      <c r="DF8" s="54"/>
      <c r="DG8" s="56"/>
      <c r="DH8" s="54"/>
      <c r="DI8" s="54"/>
      <c r="DJ8" s="54"/>
      <c r="DK8" s="55"/>
      <c r="DL8" s="54"/>
      <c r="DM8" s="55"/>
      <c r="DN8" s="54"/>
      <c r="DO8" s="56"/>
    </row>
    <row r="9" spans="1:119" ht="73" x14ac:dyDescent="0.2">
      <c r="A9" s="26" t="s">
        <v>167</v>
      </c>
      <c r="B9" s="57" t="s">
        <v>174</v>
      </c>
      <c r="C9" s="69" t="s">
        <v>169</v>
      </c>
      <c r="D9" s="79" t="s">
        <v>151</v>
      </c>
      <c r="E9" s="30">
        <v>2003</v>
      </c>
      <c r="F9" s="30">
        <v>2003</v>
      </c>
      <c r="G9" s="29"/>
      <c r="H9" s="30" t="s">
        <v>122</v>
      </c>
      <c r="I9" s="30" t="s">
        <v>123</v>
      </c>
      <c r="J9" s="81" t="s">
        <v>123</v>
      </c>
      <c r="K9" s="62" t="s">
        <v>152</v>
      </c>
      <c r="L9" s="30">
        <v>1</v>
      </c>
      <c r="M9" s="32"/>
      <c r="N9" s="64">
        <f>2450+2</f>
        <v>2452</v>
      </c>
      <c r="O9" s="63">
        <v>625</v>
      </c>
      <c r="P9" s="64">
        <v>1827</v>
      </c>
      <c r="Q9" s="32"/>
      <c r="R9" s="64">
        <v>274</v>
      </c>
      <c r="S9" s="32"/>
      <c r="T9" s="32"/>
      <c r="U9" s="103">
        <f t="shared" si="10"/>
        <v>0.14997263273125341</v>
      </c>
      <c r="V9" s="36" t="s">
        <v>175</v>
      </c>
      <c r="W9" s="37" t="s">
        <v>128</v>
      </c>
      <c r="X9" s="37"/>
      <c r="Y9" s="37" t="s">
        <v>126</v>
      </c>
      <c r="Z9" s="37" t="s">
        <v>176</v>
      </c>
      <c r="AA9" s="37" t="s">
        <v>126</v>
      </c>
      <c r="AB9" s="38"/>
      <c r="AC9" s="38"/>
      <c r="AD9" s="65" t="s">
        <v>126</v>
      </c>
      <c r="AE9" s="38"/>
      <c r="AF9" s="38"/>
      <c r="AG9" s="65" t="s">
        <v>126</v>
      </c>
      <c r="AH9" s="65" t="s">
        <v>128</v>
      </c>
      <c r="AI9" s="38"/>
      <c r="AJ9" s="38"/>
      <c r="AK9" s="66" t="s">
        <v>128</v>
      </c>
      <c r="AL9" s="95" t="s">
        <v>177</v>
      </c>
      <c r="AM9" s="67" t="s">
        <v>173</v>
      </c>
      <c r="AN9" s="30">
        <v>3</v>
      </c>
      <c r="AO9" s="30">
        <v>9</v>
      </c>
      <c r="AP9" s="38"/>
      <c r="AQ9" s="96">
        <v>456</v>
      </c>
      <c r="AR9" s="68"/>
      <c r="AS9" s="97"/>
      <c r="AT9" s="98">
        <v>63</v>
      </c>
      <c r="AU9" s="99">
        <f t="shared" si="11"/>
        <v>0.13815789473684212</v>
      </c>
      <c r="AV9" s="30">
        <v>10</v>
      </c>
      <c r="AW9" s="30">
        <v>19</v>
      </c>
      <c r="AX9" s="38"/>
      <c r="AY9" s="100">
        <v>434</v>
      </c>
      <c r="AZ9" s="68"/>
      <c r="BA9" s="97"/>
      <c r="BB9" s="96">
        <v>73</v>
      </c>
      <c r="BC9" s="99">
        <f t="shared" si="12"/>
        <v>0.16820276497695852</v>
      </c>
      <c r="BD9" s="30">
        <v>20</v>
      </c>
      <c r="BE9" s="30">
        <v>29</v>
      </c>
      <c r="BF9" s="38"/>
      <c r="BG9" s="96">
        <v>332</v>
      </c>
      <c r="BH9" s="68"/>
      <c r="BI9" s="97"/>
      <c r="BJ9" s="96">
        <v>62</v>
      </c>
      <c r="BK9" s="99">
        <f t="shared" si="13"/>
        <v>0.18674698795180722</v>
      </c>
      <c r="BL9" s="45">
        <v>30</v>
      </c>
      <c r="BM9" s="30">
        <v>39</v>
      </c>
      <c r="BN9" s="38"/>
      <c r="BO9" s="96">
        <v>231</v>
      </c>
      <c r="BP9" s="68"/>
      <c r="BQ9" s="101"/>
      <c r="BR9" s="98">
        <v>33</v>
      </c>
      <c r="BS9" s="102">
        <f t="shared" si="14"/>
        <v>0.14285714285714285</v>
      </c>
      <c r="BT9" s="45">
        <v>40</v>
      </c>
      <c r="BU9" s="30">
        <v>49</v>
      </c>
      <c r="BV9" s="38"/>
      <c r="BW9" s="100">
        <v>185</v>
      </c>
      <c r="BX9" s="38"/>
      <c r="BY9" s="97"/>
      <c r="BZ9" s="96">
        <v>28</v>
      </c>
      <c r="CA9" s="99">
        <f t="shared" si="15"/>
        <v>0.15135135135135136</v>
      </c>
      <c r="CB9" s="45">
        <v>50</v>
      </c>
      <c r="CC9" s="30">
        <v>59</v>
      </c>
      <c r="CD9" s="38"/>
      <c r="CE9" s="100">
        <v>96</v>
      </c>
      <c r="CF9" s="38"/>
      <c r="CG9" s="97"/>
      <c r="CH9" s="96">
        <v>8</v>
      </c>
      <c r="CI9" s="43">
        <f t="shared" si="16"/>
        <v>8.3333333333333329E-2</v>
      </c>
      <c r="CJ9" s="44">
        <v>60</v>
      </c>
      <c r="CK9" s="44">
        <v>99</v>
      </c>
      <c r="CL9" s="38"/>
      <c r="CM9" s="100">
        <v>93</v>
      </c>
      <c r="CN9" s="38"/>
      <c r="CO9" s="97"/>
      <c r="CP9" s="96">
        <v>7</v>
      </c>
      <c r="CQ9" s="99">
        <f t="shared" si="17"/>
        <v>7.5268817204301078E-2</v>
      </c>
      <c r="CR9" s="50"/>
      <c r="CS9" s="50"/>
      <c r="CT9" s="50"/>
      <c r="CU9" s="51"/>
      <c r="CV9" s="53"/>
      <c r="CW9" s="51"/>
      <c r="CX9" s="50"/>
      <c r="CY9" s="52"/>
      <c r="CZ9" s="54"/>
      <c r="DA9" s="54"/>
      <c r="DB9" s="54"/>
      <c r="DC9" s="55"/>
      <c r="DD9" s="54"/>
      <c r="DE9" s="55"/>
      <c r="DF9" s="54"/>
      <c r="DG9" s="56"/>
      <c r="DH9" s="54"/>
      <c r="DI9" s="54"/>
      <c r="DJ9" s="54"/>
      <c r="DK9" s="55"/>
      <c r="DL9" s="54"/>
      <c r="DM9" s="55"/>
      <c r="DN9" s="54"/>
      <c r="DO9" s="56"/>
    </row>
    <row r="10" spans="1:119" ht="73" x14ac:dyDescent="0.2">
      <c r="A10" s="26" t="s">
        <v>167</v>
      </c>
      <c r="B10" s="57" t="s">
        <v>178</v>
      </c>
      <c r="C10" s="69" t="s">
        <v>169</v>
      </c>
      <c r="D10" s="79" t="s">
        <v>151</v>
      </c>
      <c r="E10" s="30">
        <v>2004</v>
      </c>
      <c r="F10" s="30">
        <v>2004</v>
      </c>
      <c r="G10" s="29"/>
      <c r="H10" s="30" t="s">
        <v>122</v>
      </c>
      <c r="I10" s="30" t="s">
        <v>123</v>
      </c>
      <c r="J10" s="81" t="s">
        <v>123</v>
      </c>
      <c r="K10" s="62" t="s">
        <v>152</v>
      </c>
      <c r="L10" s="30">
        <v>1</v>
      </c>
      <c r="M10" s="32"/>
      <c r="N10" s="64">
        <f>2432+2</f>
        <v>2434</v>
      </c>
      <c r="O10" s="63">
        <v>602</v>
      </c>
      <c r="P10" s="64">
        <v>1832</v>
      </c>
      <c r="Q10" s="32"/>
      <c r="R10" s="64">
        <v>245</v>
      </c>
      <c r="S10" s="32"/>
      <c r="T10" s="32"/>
      <c r="U10" s="103">
        <f t="shared" si="10"/>
        <v>0.13373362445414846</v>
      </c>
      <c r="V10" s="104" t="s">
        <v>179</v>
      </c>
      <c r="W10" s="37" t="s">
        <v>128</v>
      </c>
      <c r="X10" s="37"/>
      <c r="Y10" s="37" t="s">
        <v>126</v>
      </c>
      <c r="Z10" s="37" t="s">
        <v>180</v>
      </c>
      <c r="AA10" s="37" t="s">
        <v>126</v>
      </c>
      <c r="AB10" s="38"/>
      <c r="AC10" s="38"/>
      <c r="AD10" s="65" t="s">
        <v>126</v>
      </c>
      <c r="AE10" s="38"/>
      <c r="AF10" s="38"/>
      <c r="AG10" s="65" t="s">
        <v>126</v>
      </c>
      <c r="AH10" s="65" t="s">
        <v>128</v>
      </c>
      <c r="AI10" s="38"/>
      <c r="AJ10" s="38"/>
      <c r="AK10" s="66" t="s">
        <v>128</v>
      </c>
      <c r="AL10" s="95" t="s">
        <v>181</v>
      </c>
      <c r="AM10" s="67" t="s">
        <v>173</v>
      </c>
      <c r="AN10" s="30">
        <v>3</v>
      </c>
      <c r="AO10" s="30">
        <v>9</v>
      </c>
      <c r="AP10" s="38"/>
      <c r="AQ10" s="96">
        <v>421</v>
      </c>
      <c r="AR10" s="68"/>
      <c r="AS10" s="97"/>
      <c r="AT10" s="98">
        <v>44</v>
      </c>
      <c r="AU10" s="99">
        <f t="shared" si="11"/>
        <v>0.10451306413301663</v>
      </c>
      <c r="AV10" s="30">
        <v>10</v>
      </c>
      <c r="AW10" s="30">
        <v>19</v>
      </c>
      <c r="AX10" s="38"/>
      <c r="AY10" s="100">
        <v>452</v>
      </c>
      <c r="AZ10" s="68"/>
      <c r="BA10" s="97"/>
      <c r="BB10" s="96">
        <v>67</v>
      </c>
      <c r="BC10" s="99">
        <f t="shared" si="12"/>
        <v>0.14823008849557523</v>
      </c>
      <c r="BD10" s="30">
        <v>20</v>
      </c>
      <c r="BE10" s="30">
        <v>29</v>
      </c>
      <c r="BF10" s="38"/>
      <c r="BG10" s="96">
        <v>340</v>
      </c>
      <c r="BH10" s="68"/>
      <c r="BI10" s="97"/>
      <c r="BJ10" s="96">
        <v>58</v>
      </c>
      <c r="BK10" s="99">
        <f t="shared" si="13"/>
        <v>0.17058823529411765</v>
      </c>
      <c r="BL10" s="45">
        <v>30</v>
      </c>
      <c r="BM10" s="30">
        <v>39</v>
      </c>
      <c r="BN10" s="38"/>
      <c r="BO10" s="96">
        <v>231</v>
      </c>
      <c r="BP10" s="68"/>
      <c r="BQ10" s="101"/>
      <c r="BR10" s="98">
        <v>36</v>
      </c>
      <c r="BS10" s="102">
        <f t="shared" si="14"/>
        <v>0.15584415584415584</v>
      </c>
      <c r="BT10" s="45">
        <v>40</v>
      </c>
      <c r="BU10" s="30">
        <v>49</v>
      </c>
      <c r="BV10" s="38"/>
      <c r="BW10" s="100">
        <v>194</v>
      </c>
      <c r="BX10" s="38"/>
      <c r="BY10" s="97"/>
      <c r="BZ10" s="96">
        <v>27</v>
      </c>
      <c r="CA10" s="99">
        <f t="shared" si="15"/>
        <v>0.13917525773195877</v>
      </c>
      <c r="CB10" s="45">
        <v>50</v>
      </c>
      <c r="CC10" s="30">
        <v>59</v>
      </c>
      <c r="CD10" s="38"/>
      <c r="CE10" s="100">
        <v>105</v>
      </c>
      <c r="CF10" s="38"/>
      <c r="CG10" s="97"/>
      <c r="CH10" s="96">
        <v>8</v>
      </c>
      <c r="CI10" s="43">
        <f t="shared" si="16"/>
        <v>7.6190476190476197E-2</v>
      </c>
      <c r="CJ10" s="44">
        <v>60</v>
      </c>
      <c r="CK10" s="44">
        <v>99</v>
      </c>
      <c r="CL10" s="38"/>
      <c r="CM10" s="100">
        <v>89</v>
      </c>
      <c r="CN10" s="38"/>
      <c r="CO10" s="97"/>
      <c r="CP10" s="96">
        <v>5</v>
      </c>
      <c r="CQ10" s="99">
        <f t="shared" si="17"/>
        <v>5.6179775280898875E-2</v>
      </c>
      <c r="CR10" s="50"/>
      <c r="CS10" s="50"/>
      <c r="CT10" s="50"/>
      <c r="CU10" s="51"/>
      <c r="CV10" s="53"/>
      <c r="CW10" s="51"/>
      <c r="CX10" s="50"/>
      <c r="CY10" s="52"/>
      <c r="CZ10" s="54"/>
      <c r="DA10" s="54"/>
      <c r="DB10" s="54"/>
      <c r="DC10" s="55"/>
      <c r="DD10" s="54"/>
      <c r="DE10" s="55"/>
      <c r="DF10" s="54"/>
      <c r="DG10" s="56"/>
      <c r="DH10" s="54"/>
      <c r="DI10" s="54"/>
      <c r="DJ10" s="54"/>
      <c r="DK10" s="55"/>
      <c r="DL10" s="54"/>
      <c r="DM10" s="55"/>
      <c r="DN10" s="54"/>
      <c r="DO10" s="56"/>
    </row>
    <row r="11" spans="1:119" ht="75" customHeight="1" x14ac:dyDescent="0.2">
      <c r="A11" s="26" t="s">
        <v>182</v>
      </c>
      <c r="B11" s="27" t="s">
        <v>183</v>
      </c>
      <c r="C11" s="105" t="s">
        <v>184</v>
      </c>
      <c r="D11" s="70" t="s">
        <v>185</v>
      </c>
      <c r="E11" s="30">
        <v>1992</v>
      </c>
      <c r="F11" s="30">
        <v>1992</v>
      </c>
      <c r="G11" s="29"/>
      <c r="H11" s="30" t="s">
        <v>122</v>
      </c>
      <c r="I11" s="30" t="s">
        <v>123</v>
      </c>
      <c r="J11" s="30" t="s">
        <v>186</v>
      </c>
      <c r="K11" s="62" t="s">
        <v>124</v>
      </c>
      <c r="L11" s="106">
        <v>7</v>
      </c>
      <c r="M11" s="63">
        <v>5854</v>
      </c>
      <c r="N11" s="63">
        <v>5854</v>
      </c>
      <c r="O11" s="32"/>
      <c r="P11" s="63">
        <v>5854</v>
      </c>
      <c r="Q11" s="32"/>
      <c r="R11" s="107">
        <f t="shared" ref="R11:R13" si="18">AT11+BB11+BJ11+BR11</f>
        <v>215</v>
      </c>
      <c r="S11" s="32"/>
      <c r="T11" s="32"/>
      <c r="U11" s="103">
        <f t="shared" si="10"/>
        <v>3.6727024256918345E-2</v>
      </c>
      <c r="V11" s="36" t="s">
        <v>344</v>
      </c>
      <c r="W11" s="37" t="s">
        <v>126</v>
      </c>
      <c r="X11" s="37"/>
      <c r="Y11" s="37" t="s">
        <v>126</v>
      </c>
      <c r="Z11" s="37"/>
      <c r="AA11" s="37" t="s">
        <v>128</v>
      </c>
      <c r="AB11" s="38"/>
      <c r="AC11" s="38"/>
      <c r="AD11" s="39" t="s">
        <v>128</v>
      </c>
      <c r="AE11" s="38"/>
      <c r="AF11" s="38"/>
      <c r="AG11" s="39" t="s">
        <v>128</v>
      </c>
      <c r="AH11" s="39" t="s">
        <v>126</v>
      </c>
      <c r="AI11" s="38"/>
      <c r="AJ11" s="108" t="s">
        <v>187</v>
      </c>
      <c r="AK11" s="30" t="s">
        <v>128</v>
      </c>
      <c r="AL11" s="40" t="s">
        <v>188</v>
      </c>
      <c r="AM11" s="67" t="s">
        <v>189</v>
      </c>
      <c r="AN11" s="30">
        <v>29</v>
      </c>
      <c r="AO11" s="30">
        <v>5</v>
      </c>
      <c r="AP11" s="30">
        <v>1011</v>
      </c>
      <c r="AQ11" s="30">
        <v>1011</v>
      </c>
      <c r="AR11" s="68"/>
      <c r="AS11" s="74"/>
      <c r="AT11" s="45">
        <v>30</v>
      </c>
      <c r="AU11" s="43">
        <f t="shared" si="11"/>
        <v>2.967359050445104E-2</v>
      </c>
      <c r="AV11" s="44">
        <v>6</v>
      </c>
      <c r="AW11" s="44">
        <v>11</v>
      </c>
      <c r="AX11" s="44">
        <v>1425</v>
      </c>
      <c r="AY11" s="109">
        <v>1425</v>
      </c>
      <c r="AZ11" s="68"/>
      <c r="BA11" s="74"/>
      <c r="BB11" s="30">
        <v>54</v>
      </c>
      <c r="BC11" s="43">
        <f t="shared" si="12"/>
        <v>3.7894736842105266E-2</v>
      </c>
      <c r="BD11" s="30">
        <v>12</v>
      </c>
      <c r="BE11" s="30">
        <v>20</v>
      </c>
      <c r="BF11" s="30">
        <v>1028</v>
      </c>
      <c r="BG11" s="30">
        <v>1028</v>
      </c>
      <c r="BH11" s="68"/>
      <c r="BI11" s="110"/>
      <c r="BJ11" s="30">
        <v>48</v>
      </c>
      <c r="BK11" s="43">
        <f t="shared" si="13"/>
        <v>4.6692607003891051E-2</v>
      </c>
      <c r="BL11" s="45">
        <v>21</v>
      </c>
      <c r="BM11" s="30">
        <v>89</v>
      </c>
      <c r="BN11" s="30">
        <v>2390</v>
      </c>
      <c r="BO11" s="30">
        <v>2390</v>
      </c>
      <c r="BP11" s="68"/>
      <c r="BQ11" s="110"/>
      <c r="BR11" s="45">
        <v>83</v>
      </c>
      <c r="BS11" s="111">
        <f t="shared" si="14"/>
        <v>3.472803347280335E-2</v>
      </c>
      <c r="BT11" s="49"/>
      <c r="BU11" s="50"/>
      <c r="BV11" s="50"/>
      <c r="BW11" s="51"/>
      <c r="BX11" s="50"/>
      <c r="BY11" s="51"/>
      <c r="BZ11" s="50"/>
      <c r="CA11" s="52"/>
      <c r="CB11" s="49"/>
      <c r="CC11" s="50"/>
      <c r="CD11" s="50"/>
      <c r="CE11" s="50"/>
      <c r="CF11" s="49"/>
      <c r="CG11" s="51"/>
      <c r="CH11" s="50"/>
      <c r="CI11" s="52"/>
      <c r="CJ11" s="50"/>
      <c r="CK11" s="50"/>
      <c r="CL11" s="50"/>
      <c r="CM11" s="51"/>
      <c r="CN11" s="50"/>
      <c r="CO11" s="51"/>
      <c r="CP11" s="50"/>
      <c r="CQ11" s="52"/>
      <c r="CR11" s="50"/>
      <c r="CS11" s="50"/>
      <c r="CT11" s="50"/>
      <c r="CU11" s="51"/>
      <c r="CV11" s="53"/>
      <c r="CW11" s="51"/>
      <c r="CX11" s="50"/>
      <c r="CY11" s="52"/>
      <c r="CZ11" s="54"/>
      <c r="DA11" s="54"/>
      <c r="DB11" s="54"/>
      <c r="DC11" s="55"/>
      <c r="DD11" s="54"/>
      <c r="DE11" s="55"/>
      <c r="DF11" s="54"/>
      <c r="DG11" s="56"/>
      <c r="DH11" s="54"/>
      <c r="DI11" s="54"/>
      <c r="DJ11" s="54"/>
      <c r="DK11" s="55"/>
      <c r="DL11" s="54"/>
      <c r="DM11" s="55"/>
      <c r="DN11" s="54"/>
      <c r="DO11" s="56"/>
    </row>
    <row r="12" spans="1:119" ht="109" x14ac:dyDescent="0.2">
      <c r="A12" s="26" t="s">
        <v>182</v>
      </c>
      <c r="B12" s="27" t="s">
        <v>183</v>
      </c>
      <c r="C12" s="69" t="s">
        <v>190</v>
      </c>
      <c r="D12" s="70" t="s">
        <v>185</v>
      </c>
      <c r="E12" s="30">
        <v>1991</v>
      </c>
      <c r="F12" s="30">
        <v>1992</v>
      </c>
      <c r="G12" s="29"/>
      <c r="H12" s="30" t="s">
        <v>122</v>
      </c>
      <c r="I12" s="30" t="s">
        <v>123</v>
      </c>
      <c r="J12" s="30" t="s">
        <v>123</v>
      </c>
      <c r="K12" s="62" t="s">
        <v>124</v>
      </c>
      <c r="L12" s="106">
        <v>3</v>
      </c>
      <c r="M12" s="64">
        <v>14000</v>
      </c>
      <c r="N12" s="64">
        <v>9619</v>
      </c>
      <c r="O12" s="112">
        <f>M12-P12</f>
        <v>4381</v>
      </c>
      <c r="P12" s="64">
        <v>9619</v>
      </c>
      <c r="Q12" s="32"/>
      <c r="R12" s="107">
        <f t="shared" si="18"/>
        <v>423</v>
      </c>
      <c r="S12" s="32"/>
      <c r="T12" s="32"/>
      <c r="U12" s="103">
        <f t="shared" si="10"/>
        <v>4.3975465225075373E-2</v>
      </c>
      <c r="V12" s="36" t="s">
        <v>191</v>
      </c>
      <c r="W12" s="37" t="s">
        <v>126</v>
      </c>
      <c r="X12" s="37"/>
      <c r="Y12" s="37" t="s">
        <v>126</v>
      </c>
      <c r="Z12" s="37"/>
      <c r="AA12" s="37" t="s">
        <v>128</v>
      </c>
      <c r="AB12" s="38"/>
      <c r="AC12" s="38"/>
      <c r="AD12" s="39" t="s">
        <v>128</v>
      </c>
      <c r="AE12" s="38"/>
      <c r="AF12" s="38"/>
      <c r="AG12" s="39" t="s">
        <v>128</v>
      </c>
      <c r="AH12" s="39" t="s">
        <v>126</v>
      </c>
      <c r="AI12" s="38"/>
      <c r="AJ12" s="108" t="s">
        <v>187</v>
      </c>
      <c r="AK12" s="30" t="s">
        <v>128</v>
      </c>
      <c r="AL12" s="40" t="s">
        <v>188</v>
      </c>
      <c r="AM12" s="67" t="s">
        <v>189</v>
      </c>
      <c r="AN12" s="30">
        <v>0</v>
      </c>
      <c r="AO12" s="30">
        <v>5</v>
      </c>
      <c r="AP12" s="30">
        <v>1951</v>
      </c>
      <c r="AQ12" s="30">
        <v>1951</v>
      </c>
      <c r="AR12" s="68"/>
      <c r="AS12" s="74"/>
      <c r="AT12" s="45">
        <v>23</v>
      </c>
      <c r="AU12" s="43">
        <f t="shared" si="11"/>
        <v>1.1788826242952332E-2</v>
      </c>
      <c r="AV12" s="44">
        <v>6</v>
      </c>
      <c r="AW12" s="44">
        <v>11</v>
      </c>
      <c r="AX12" s="44">
        <v>1965</v>
      </c>
      <c r="AY12" s="109">
        <v>1965</v>
      </c>
      <c r="AZ12" s="38"/>
      <c r="BA12" s="74"/>
      <c r="BB12" s="30">
        <v>84</v>
      </c>
      <c r="BC12" s="43">
        <f t="shared" si="12"/>
        <v>4.2748091603053436E-2</v>
      </c>
      <c r="BD12" s="30">
        <v>12</v>
      </c>
      <c r="BE12" s="30">
        <v>20</v>
      </c>
      <c r="BF12" s="30">
        <v>1830</v>
      </c>
      <c r="BG12" s="42">
        <v>1830</v>
      </c>
      <c r="BH12" s="38"/>
      <c r="BI12" s="110"/>
      <c r="BJ12" s="30">
        <v>139</v>
      </c>
      <c r="BK12" s="111">
        <f t="shared" si="13"/>
        <v>7.5956284153005468E-2</v>
      </c>
      <c r="BL12" s="45">
        <v>21</v>
      </c>
      <c r="BM12" s="30">
        <v>89</v>
      </c>
      <c r="BN12" s="30">
        <v>3873</v>
      </c>
      <c r="BO12" s="30">
        <v>3873</v>
      </c>
      <c r="BP12" s="68"/>
      <c r="BQ12" s="113"/>
      <c r="BR12" s="45">
        <v>177</v>
      </c>
      <c r="BS12" s="111">
        <f t="shared" si="14"/>
        <v>4.5701006971340045E-2</v>
      </c>
      <c r="BT12" s="49"/>
      <c r="BU12" s="50"/>
      <c r="BV12" s="50"/>
      <c r="BW12" s="51"/>
      <c r="BX12" s="50"/>
      <c r="BY12" s="51"/>
      <c r="BZ12" s="50"/>
      <c r="CA12" s="52"/>
      <c r="CB12" s="49"/>
      <c r="CC12" s="50"/>
      <c r="CD12" s="50"/>
      <c r="CE12" s="51"/>
      <c r="CF12" s="50"/>
      <c r="CG12" s="51"/>
      <c r="CH12" s="50"/>
      <c r="CI12" s="52"/>
      <c r="CJ12" s="50"/>
      <c r="CK12" s="50"/>
      <c r="CL12" s="50"/>
      <c r="CM12" s="51"/>
      <c r="CN12" s="50"/>
      <c r="CO12" s="51"/>
      <c r="CP12" s="50"/>
      <c r="CQ12" s="52"/>
      <c r="CR12" s="50"/>
      <c r="CS12" s="50"/>
      <c r="CT12" s="50"/>
      <c r="CU12" s="51"/>
      <c r="CV12" s="53"/>
      <c r="CW12" s="51"/>
      <c r="CX12" s="50"/>
      <c r="CY12" s="52"/>
      <c r="CZ12" s="54"/>
      <c r="DA12" s="54"/>
      <c r="DB12" s="54"/>
      <c r="DC12" s="55"/>
      <c r="DD12" s="54"/>
      <c r="DE12" s="55"/>
      <c r="DF12" s="54"/>
      <c r="DG12" s="56"/>
      <c r="DH12" s="54"/>
      <c r="DI12" s="54"/>
      <c r="DJ12" s="54"/>
      <c r="DK12" s="55"/>
      <c r="DL12" s="54"/>
      <c r="DM12" s="55"/>
      <c r="DN12" s="54"/>
      <c r="DO12" s="56"/>
    </row>
    <row r="13" spans="1:119" ht="49" x14ac:dyDescent="0.2">
      <c r="A13" s="26" t="s">
        <v>182</v>
      </c>
      <c r="B13" s="27" t="s">
        <v>183</v>
      </c>
      <c r="C13" s="69" t="s">
        <v>190</v>
      </c>
      <c r="D13" s="70" t="s">
        <v>185</v>
      </c>
      <c r="E13" s="30">
        <v>1991</v>
      </c>
      <c r="F13" s="30">
        <v>1992</v>
      </c>
      <c r="G13" s="29"/>
      <c r="H13" s="30" t="s">
        <v>122</v>
      </c>
      <c r="I13" s="30" t="s">
        <v>192</v>
      </c>
      <c r="J13" s="30" t="s">
        <v>193</v>
      </c>
      <c r="K13" s="62" t="s">
        <v>194</v>
      </c>
      <c r="L13" s="106">
        <v>3</v>
      </c>
      <c r="M13" s="64">
        <v>20000</v>
      </c>
      <c r="N13" s="64">
        <v>7328</v>
      </c>
      <c r="O13" s="82">
        <f t="shared" ref="O13:O14" si="19">M13-N13</f>
        <v>12672</v>
      </c>
      <c r="P13" s="64">
        <v>7328</v>
      </c>
      <c r="Q13" s="32"/>
      <c r="R13" s="107">
        <f t="shared" si="18"/>
        <v>495</v>
      </c>
      <c r="S13" s="32"/>
      <c r="T13" s="32"/>
      <c r="U13" s="103">
        <f t="shared" si="10"/>
        <v>6.754912663755458E-2</v>
      </c>
      <c r="V13" s="36" t="s">
        <v>195</v>
      </c>
      <c r="W13" s="37" t="s">
        <v>126</v>
      </c>
      <c r="X13" s="37"/>
      <c r="Y13" s="37" t="s">
        <v>126</v>
      </c>
      <c r="Z13" s="37"/>
      <c r="AA13" s="37" t="s">
        <v>128</v>
      </c>
      <c r="AB13" s="38"/>
      <c r="AC13" s="38"/>
      <c r="AD13" s="39" t="s">
        <v>128</v>
      </c>
      <c r="AE13" s="38"/>
      <c r="AF13" s="38"/>
      <c r="AG13" s="39" t="s">
        <v>128</v>
      </c>
      <c r="AH13" s="39" t="s">
        <v>126</v>
      </c>
      <c r="AI13" s="38"/>
      <c r="AJ13" s="108" t="s">
        <v>187</v>
      </c>
      <c r="AK13" s="30" t="s">
        <v>128</v>
      </c>
      <c r="AL13" s="40" t="s">
        <v>188</v>
      </c>
      <c r="AM13" s="67" t="s">
        <v>189</v>
      </c>
      <c r="AN13" s="30">
        <v>0</v>
      </c>
      <c r="AO13" s="30">
        <v>5</v>
      </c>
      <c r="AP13" s="30">
        <v>1726</v>
      </c>
      <c r="AQ13" s="30">
        <v>1726</v>
      </c>
      <c r="AR13" s="68"/>
      <c r="AS13" s="74"/>
      <c r="AT13" s="45">
        <v>57</v>
      </c>
      <c r="AU13" s="43">
        <f t="shared" si="11"/>
        <v>3.3024333719582848E-2</v>
      </c>
      <c r="AV13" s="44">
        <v>6</v>
      </c>
      <c r="AW13" s="44">
        <v>11</v>
      </c>
      <c r="AX13" s="44">
        <v>1959</v>
      </c>
      <c r="AY13" s="109">
        <v>1959</v>
      </c>
      <c r="AZ13" s="38"/>
      <c r="BA13" s="74"/>
      <c r="BB13" s="30">
        <v>116</v>
      </c>
      <c r="BC13" s="43">
        <f t="shared" si="12"/>
        <v>5.9213884635017866E-2</v>
      </c>
      <c r="BD13" s="30">
        <v>12</v>
      </c>
      <c r="BE13" s="30">
        <v>20</v>
      </c>
      <c r="BF13" s="30">
        <v>1478</v>
      </c>
      <c r="BG13" s="42">
        <v>1478</v>
      </c>
      <c r="BH13" s="38"/>
      <c r="BI13" s="110"/>
      <c r="BJ13" s="30">
        <v>157</v>
      </c>
      <c r="BK13" s="111">
        <f t="shared" si="13"/>
        <v>0.10622462787550745</v>
      </c>
      <c r="BL13" s="45">
        <v>21</v>
      </c>
      <c r="BM13" s="30">
        <v>89</v>
      </c>
      <c r="BN13" s="30">
        <v>2165</v>
      </c>
      <c r="BO13" s="30">
        <v>2165</v>
      </c>
      <c r="BP13" s="68"/>
      <c r="BQ13" s="113"/>
      <c r="BR13" s="45">
        <v>165</v>
      </c>
      <c r="BS13" s="111">
        <f t="shared" si="14"/>
        <v>7.6212471131639717E-2</v>
      </c>
      <c r="BT13" s="49"/>
      <c r="BU13" s="50"/>
      <c r="BV13" s="50"/>
      <c r="BW13" s="51"/>
      <c r="BX13" s="50"/>
      <c r="BY13" s="51"/>
      <c r="BZ13" s="50"/>
      <c r="CA13" s="52"/>
      <c r="CB13" s="49"/>
      <c r="CC13" s="50"/>
      <c r="CD13" s="50"/>
      <c r="CE13" s="51"/>
      <c r="CF13" s="50"/>
      <c r="CG13" s="51"/>
      <c r="CH13" s="50"/>
      <c r="CI13" s="52"/>
      <c r="CJ13" s="50"/>
      <c r="CK13" s="50"/>
      <c r="CL13" s="50"/>
      <c r="CM13" s="51"/>
      <c r="CN13" s="50"/>
      <c r="CO13" s="51"/>
      <c r="CP13" s="50"/>
      <c r="CQ13" s="52"/>
      <c r="CR13" s="50"/>
      <c r="CS13" s="50"/>
      <c r="CT13" s="50"/>
      <c r="CU13" s="51"/>
      <c r="CV13" s="53"/>
      <c r="CW13" s="51"/>
      <c r="CX13" s="50"/>
      <c r="CY13" s="52"/>
      <c r="CZ13" s="54"/>
      <c r="DA13" s="54"/>
      <c r="DB13" s="54"/>
      <c r="DC13" s="55"/>
      <c r="DD13" s="54"/>
      <c r="DE13" s="55"/>
      <c r="DF13" s="54"/>
      <c r="DG13" s="56"/>
      <c r="DH13" s="54"/>
      <c r="DI13" s="54"/>
      <c r="DJ13" s="54"/>
      <c r="DK13" s="55"/>
      <c r="DL13" s="54"/>
      <c r="DM13" s="55"/>
      <c r="DN13" s="54"/>
      <c r="DO13" s="56"/>
    </row>
    <row r="14" spans="1:119" ht="73" x14ac:dyDescent="0.2">
      <c r="A14" s="114" t="s">
        <v>196</v>
      </c>
      <c r="B14" s="115" t="s">
        <v>141</v>
      </c>
      <c r="C14" s="116" t="s">
        <v>197</v>
      </c>
      <c r="D14" s="117" t="s">
        <v>198</v>
      </c>
      <c r="E14" s="118">
        <v>38930</v>
      </c>
      <c r="F14" s="118">
        <v>39672</v>
      </c>
      <c r="G14" s="119">
        <v>2</v>
      </c>
      <c r="H14" s="120" t="s">
        <v>122</v>
      </c>
      <c r="I14" s="81" t="s">
        <v>123</v>
      </c>
      <c r="J14" s="81" t="s">
        <v>123</v>
      </c>
      <c r="K14" s="121" t="s">
        <v>124</v>
      </c>
      <c r="L14" s="122">
        <v>8</v>
      </c>
      <c r="M14" s="123">
        <v>6955</v>
      </c>
      <c r="N14" s="123">
        <v>6761</v>
      </c>
      <c r="O14" s="124">
        <f t="shared" si="19"/>
        <v>194</v>
      </c>
      <c r="P14" s="125"/>
      <c r="Q14" s="123">
        <v>248</v>
      </c>
      <c r="R14" s="126"/>
      <c r="S14" s="127">
        <v>3</v>
      </c>
      <c r="T14" s="128">
        <f>Q14/N14/S14*1000</f>
        <v>12.226988118128482</v>
      </c>
      <c r="U14" s="129"/>
      <c r="V14" s="130" t="s">
        <v>199</v>
      </c>
      <c r="W14" s="131" t="s">
        <v>147</v>
      </c>
      <c r="X14" s="131"/>
      <c r="Y14" s="131" t="s">
        <v>147</v>
      </c>
      <c r="Z14" s="131"/>
      <c r="AA14" s="132" t="s">
        <v>128</v>
      </c>
      <c r="AB14" s="38"/>
      <c r="AC14" s="38"/>
      <c r="AD14" s="132" t="s">
        <v>126</v>
      </c>
      <c r="AE14" s="38"/>
      <c r="AF14" s="38"/>
      <c r="AG14" s="132" t="s">
        <v>128</v>
      </c>
      <c r="AH14" s="132" t="s">
        <v>128</v>
      </c>
      <c r="AI14" s="133"/>
      <c r="AJ14" s="133"/>
      <c r="AK14" s="134" t="s">
        <v>128</v>
      </c>
      <c r="AL14" s="40" t="s">
        <v>200</v>
      </c>
      <c r="AM14" s="135" t="s">
        <v>201</v>
      </c>
      <c r="AN14" s="122">
        <v>3</v>
      </c>
      <c r="AO14" s="122">
        <v>14</v>
      </c>
      <c r="AP14" s="136">
        <v>2344</v>
      </c>
      <c r="AQ14" s="101"/>
      <c r="AR14" s="137">
        <v>111</v>
      </c>
      <c r="AS14" s="138">
        <f t="shared" ref="AS14:AS16" si="20">AR14/AP14/S14*1000</f>
        <v>15.784982935153582</v>
      </c>
      <c r="AT14" s="68"/>
      <c r="AU14" s="74"/>
      <c r="AV14" s="122">
        <v>15</v>
      </c>
      <c r="AW14" s="122">
        <v>45</v>
      </c>
      <c r="AX14" s="136">
        <v>3365</v>
      </c>
      <c r="AY14" s="97"/>
      <c r="AZ14" s="139">
        <v>114</v>
      </c>
      <c r="BA14" s="138">
        <f t="shared" ref="BA14:BA16" si="21">AZ14/AX14/S14*1000</f>
        <v>11.292719167904902</v>
      </c>
      <c r="BB14" s="68"/>
      <c r="BC14" s="74"/>
      <c r="BD14" s="140">
        <v>46</v>
      </c>
      <c r="BE14" s="44">
        <v>89</v>
      </c>
      <c r="BF14" s="136">
        <v>1052</v>
      </c>
      <c r="BG14" s="141"/>
      <c r="BH14" s="137">
        <v>23</v>
      </c>
      <c r="BI14" s="138">
        <f t="shared" ref="BI14:BI16" si="22">BH14/BF14/S14*1000</f>
        <v>7.2877059569074776</v>
      </c>
      <c r="BJ14" s="68"/>
      <c r="BK14" s="74"/>
      <c r="BL14" s="49"/>
      <c r="BM14" s="50"/>
      <c r="BN14" s="50"/>
      <c r="BO14" s="50"/>
      <c r="BP14" s="49"/>
      <c r="BQ14" s="50"/>
      <c r="BR14" s="142"/>
      <c r="BS14" s="52"/>
      <c r="BT14" s="50"/>
      <c r="BU14" s="50"/>
      <c r="BV14" s="50"/>
      <c r="BW14" s="51"/>
      <c r="BX14" s="50"/>
      <c r="BY14" s="51"/>
      <c r="BZ14" s="50"/>
      <c r="CA14" s="52"/>
      <c r="CB14" s="143"/>
      <c r="CC14" s="143"/>
      <c r="CD14" s="50"/>
      <c r="CE14" s="51"/>
      <c r="CF14" s="50"/>
      <c r="CG14" s="51"/>
      <c r="CH14" s="50"/>
      <c r="CI14" s="52"/>
      <c r="CJ14" s="50"/>
      <c r="CK14" s="50"/>
      <c r="CL14" s="50"/>
      <c r="CM14" s="51"/>
      <c r="CN14" s="50"/>
      <c r="CO14" s="51"/>
      <c r="CP14" s="50"/>
      <c r="CQ14" s="52"/>
      <c r="CR14" s="50"/>
      <c r="CS14" s="50"/>
      <c r="CT14" s="50"/>
      <c r="CU14" s="51"/>
      <c r="CV14" s="53"/>
      <c r="CW14" s="51"/>
      <c r="CX14" s="50"/>
      <c r="CY14" s="52"/>
      <c r="CZ14" s="54"/>
      <c r="DA14" s="54"/>
      <c r="DB14" s="54"/>
      <c r="DC14" s="55"/>
      <c r="DD14" s="54"/>
      <c r="DE14" s="55"/>
      <c r="DF14" s="54"/>
      <c r="DG14" s="56"/>
      <c r="DH14" s="54"/>
      <c r="DI14" s="54"/>
      <c r="DJ14" s="54"/>
      <c r="DK14" s="55"/>
      <c r="DL14" s="54"/>
      <c r="DM14" s="55"/>
      <c r="DN14" s="54"/>
      <c r="DO14" s="56"/>
    </row>
    <row r="15" spans="1:119" ht="49" x14ac:dyDescent="0.2">
      <c r="A15" s="114" t="s">
        <v>202</v>
      </c>
      <c r="B15" s="144" t="s">
        <v>141</v>
      </c>
      <c r="C15" s="145" t="s">
        <v>203</v>
      </c>
      <c r="D15" s="119" t="s">
        <v>204</v>
      </c>
      <c r="E15" s="146">
        <v>39692</v>
      </c>
      <c r="F15" s="146">
        <v>40452</v>
      </c>
      <c r="G15" s="96">
        <v>3.5</v>
      </c>
      <c r="H15" s="134" t="s">
        <v>143</v>
      </c>
      <c r="I15" s="120" t="s">
        <v>205</v>
      </c>
      <c r="J15" s="120" t="s">
        <v>206</v>
      </c>
      <c r="K15" s="147"/>
      <c r="L15" s="122">
        <v>50</v>
      </c>
      <c r="M15" s="32"/>
      <c r="N15" s="123">
        <v>81210</v>
      </c>
      <c r="O15" s="29"/>
      <c r="P15" s="29"/>
      <c r="Q15" s="123">
        <v>207</v>
      </c>
      <c r="R15" s="29"/>
      <c r="S15" s="148">
        <v>3.5</v>
      </c>
      <c r="T15" s="149">
        <v>0.72799999999999998</v>
      </c>
      <c r="U15" s="129"/>
      <c r="V15" s="150" t="s">
        <v>207</v>
      </c>
      <c r="W15" s="151" t="s">
        <v>147</v>
      </c>
      <c r="X15" s="151"/>
      <c r="Y15" s="151" t="s">
        <v>147</v>
      </c>
      <c r="Z15" s="151"/>
      <c r="AA15" s="152" t="s">
        <v>128</v>
      </c>
      <c r="AB15" s="38"/>
      <c r="AC15" s="38"/>
      <c r="AD15" s="153" t="s">
        <v>126</v>
      </c>
      <c r="AE15" s="38"/>
      <c r="AF15" s="38"/>
      <c r="AG15" s="152" t="s">
        <v>128</v>
      </c>
      <c r="AH15" s="151" t="s">
        <v>128</v>
      </c>
      <c r="AI15" s="133"/>
      <c r="AJ15" s="133"/>
      <c r="AK15" s="154" t="s">
        <v>128</v>
      </c>
      <c r="AL15" s="155" t="s">
        <v>208</v>
      </c>
      <c r="AM15" s="156"/>
      <c r="AN15" s="122">
        <v>0</v>
      </c>
      <c r="AO15" s="122">
        <v>4</v>
      </c>
      <c r="AP15" s="136">
        <v>12787</v>
      </c>
      <c r="AQ15" s="157"/>
      <c r="AR15" s="137">
        <v>20</v>
      </c>
      <c r="AS15" s="138">
        <f t="shared" si="20"/>
        <v>0.44688243640304331</v>
      </c>
      <c r="AT15" s="68"/>
      <c r="AU15" s="74"/>
      <c r="AV15" s="122">
        <v>5</v>
      </c>
      <c r="AW15" s="122">
        <v>14</v>
      </c>
      <c r="AX15" s="136">
        <v>21020</v>
      </c>
      <c r="AY15" s="158"/>
      <c r="AZ15" s="139">
        <v>79</v>
      </c>
      <c r="BA15" s="159">
        <f t="shared" si="21"/>
        <v>1.0738072583933669</v>
      </c>
      <c r="BB15" s="68"/>
      <c r="BC15" s="74"/>
      <c r="BD15" s="122">
        <v>15</v>
      </c>
      <c r="BE15" s="122">
        <v>24</v>
      </c>
      <c r="BF15" s="136">
        <v>14282</v>
      </c>
      <c r="BG15" s="158"/>
      <c r="BH15" s="160">
        <v>33</v>
      </c>
      <c r="BI15" s="159">
        <f t="shared" si="22"/>
        <v>0.66017164462760325</v>
      </c>
      <c r="BJ15" s="68"/>
      <c r="BK15" s="74"/>
      <c r="BL15" s="137">
        <v>25</v>
      </c>
      <c r="BM15" s="122">
        <v>34</v>
      </c>
      <c r="BN15" s="136">
        <v>10993</v>
      </c>
      <c r="BO15" s="157"/>
      <c r="BP15" s="137">
        <v>31</v>
      </c>
      <c r="BQ15" s="128">
        <f t="shared" ref="BQ15:BQ16" si="23">BP15/BN15/S15*1000</f>
        <v>0.80570752816727531</v>
      </c>
      <c r="BR15" s="68"/>
      <c r="BS15" s="74"/>
      <c r="BT15" s="122">
        <v>35</v>
      </c>
      <c r="BU15" s="122">
        <v>44</v>
      </c>
      <c r="BV15" s="122">
        <v>8462</v>
      </c>
      <c r="BW15" s="158"/>
      <c r="BX15" s="122">
        <v>23</v>
      </c>
      <c r="BY15" s="161">
        <f t="shared" ref="BY15:BY16" si="24">BX15/BV15/S15*1000</f>
        <v>0.77658101765877707</v>
      </c>
      <c r="BZ15" s="38"/>
      <c r="CA15" s="74"/>
      <c r="CB15" s="122">
        <v>45</v>
      </c>
      <c r="CC15" s="162">
        <v>89</v>
      </c>
      <c r="CD15" s="122">
        <v>13666</v>
      </c>
      <c r="CE15" s="110"/>
      <c r="CF15" s="122">
        <v>21</v>
      </c>
      <c r="CG15" s="163">
        <f t="shared" ref="CG15:CG16" si="25">CF15/CD15/S15*1000</f>
        <v>0.43904580711254204</v>
      </c>
      <c r="CH15" s="38"/>
      <c r="CI15" s="74"/>
      <c r="CJ15" s="50"/>
      <c r="CK15" s="50"/>
      <c r="CL15" s="50"/>
      <c r="CM15" s="51"/>
      <c r="CN15" s="50"/>
      <c r="CO15" s="51"/>
      <c r="CP15" s="50"/>
      <c r="CQ15" s="52"/>
      <c r="CR15" s="50"/>
      <c r="CS15" s="50"/>
      <c r="CT15" s="50"/>
      <c r="CU15" s="51"/>
      <c r="CV15" s="53"/>
      <c r="CW15" s="51"/>
      <c r="CX15" s="50"/>
      <c r="CY15" s="52"/>
      <c r="CZ15" s="54"/>
      <c r="DA15" s="54"/>
      <c r="DB15" s="54"/>
      <c r="DC15" s="55"/>
      <c r="DD15" s="54"/>
      <c r="DE15" s="55"/>
      <c r="DF15" s="54"/>
      <c r="DG15" s="56"/>
      <c r="DH15" s="54"/>
      <c r="DI15" s="54"/>
      <c r="DJ15" s="54"/>
      <c r="DK15" s="55"/>
      <c r="DL15" s="54"/>
      <c r="DM15" s="55"/>
      <c r="DN15" s="54"/>
      <c r="DO15" s="56"/>
    </row>
    <row r="16" spans="1:119" ht="73" x14ac:dyDescent="0.2">
      <c r="A16" s="164" t="s">
        <v>209</v>
      </c>
      <c r="B16" s="165" t="s">
        <v>141</v>
      </c>
      <c r="C16" s="145" t="s">
        <v>210</v>
      </c>
      <c r="D16" s="119" t="s">
        <v>204</v>
      </c>
      <c r="E16" s="146">
        <v>39142</v>
      </c>
      <c r="F16" s="146">
        <v>40148</v>
      </c>
      <c r="G16" s="166">
        <v>2.5</v>
      </c>
      <c r="H16" s="134" t="s">
        <v>143</v>
      </c>
      <c r="I16" s="120" t="s">
        <v>205</v>
      </c>
      <c r="J16" s="120" t="s">
        <v>206</v>
      </c>
      <c r="K16" s="147"/>
      <c r="L16" s="122">
        <v>11</v>
      </c>
      <c r="M16" s="167">
        <v>19886</v>
      </c>
      <c r="N16" s="64">
        <v>13163</v>
      </c>
      <c r="O16" s="162">
        <v>3</v>
      </c>
      <c r="P16" s="168">
        <v>12910</v>
      </c>
      <c r="Q16" s="168">
        <v>115</v>
      </c>
      <c r="R16" s="29"/>
      <c r="S16" s="169">
        <f>(F16-E16)/365</f>
        <v>2.7561643835616438</v>
      </c>
      <c r="T16" s="170">
        <f>Q16/N16/S16*1000</f>
        <v>3.1698436593082997</v>
      </c>
      <c r="U16" s="129"/>
      <c r="V16" s="130" t="s">
        <v>211</v>
      </c>
      <c r="W16" s="131" t="s">
        <v>147</v>
      </c>
      <c r="X16" s="131"/>
      <c r="Y16" s="131" t="s">
        <v>147</v>
      </c>
      <c r="Z16" s="131"/>
      <c r="AA16" s="132" t="s">
        <v>126</v>
      </c>
      <c r="AB16" s="130" t="s">
        <v>345</v>
      </c>
      <c r="AC16" s="130" t="s">
        <v>212</v>
      </c>
      <c r="AD16" s="132" t="s">
        <v>128</v>
      </c>
      <c r="AE16" s="38"/>
      <c r="AF16" s="38"/>
      <c r="AG16" s="132" t="s">
        <v>128</v>
      </c>
      <c r="AH16" s="132" t="s">
        <v>126</v>
      </c>
      <c r="AI16" s="171" t="s">
        <v>187</v>
      </c>
      <c r="AJ16" s="96" t="s">
        <v>213</v>
      </c>
      <c r="AK16" s="134" t="s">
        <v>128</v>
      </c>
      <c r="AL16" s="172" t="s">
        <v>214</v>
      </c>
      <c r="AM16" s="173"/>
      <c r="AN16" s="122">
        <v>2</v>
      </c>
      <c r="AO16" s="122">
        <v>9</v>
      </c>
      <c r="AP16" s="136">
        <v>3677</v>
      </c>
      <c r="AQ16" s="157"/>
      <c r="AR16" s="139">
        <v>37</v>
      </c>
      <c r="AS16" s="174">
        <f t="shared" si="20"/>
        <v>3.6509255589660299</v>
      </c>
      <c r="AT16" s="38"/>
      <c r="AU16" s="74"/>
      <c r="AV16" s="122">
        <v>10</v>
      </c>
      <c r="AW16" s="122">
        <v>19</v>
      </c>
      <c r="AX16" s="136">
        <v>2909</v>
      </c>
      <c r="AY16" s="158"/>
      <c r="AZ16" s="160">
        <v>20</v>
      </c>
      <c r="BA16" s="174">
        <f t="shared" si="21"/>
        <v>2.4944865014109223</v>
      </c>
      <c r="BB16" s="38"/>
      <c r="BC16" s="74"/>
      <c r="BD16" s="122">
        <v>20</v>
      </c>
      <c r="BE16" s="122">
        <v>29</v>
      </c>
      <c r="BF16" s="136">
        <v>1639</v>
      </c>
      <c r="BG16" s="158"/>
      <c r="BH16" s="160">
        <v>23</v>
      </c>
      <c r="BI16" s="174">
        <f t="shared" si="22"/>
        <v>5.0914767647925743</v>
      </c>
      <c r="BJ16" s="38"/>
      <c r="BK16" s="175"/>
      <c r="BL16" s="137">
        <v>30</v>
      </c>
      <c r="BM16" s="122">
        <v>39</v>
      </c>
      <c r="BN16" s="136">
        <v>1554</v>
      </c>
      <c r="BO16" s="157"/>
      <c r="BP16" s="176">
        <v>17</v>
      </c>
      <c r="BQ16" s="161">
        <f t="shared" si="23"/>
        <v>3.9691068518106292</v>
      </c>
      <c r="BR16" s="38"/>
      <c r="BS16" s="74"/>
      <c r="BT16" s="122">
        <v>40</v>
      </c>
      <c r="BU16" s="122">
        <v>49</v>
      </c>
      <c r="BV16" s="136">
        <v>1103</v>
      </c>
      <c r="BW16" s="158"/>
      <c r="BX16" s="122">
        <v>9</v>
      </c>
      <c r="BY16" s="161">
        <f t="shared" si="24"/>
        <v>2.960478290727079</v>
      </c>
      <c r="BZ16" s="38"/>
      <c r="CA16" s="74"/>
      <c r="CB16" s="122">
        <v>50</v>
      </c>
      <c r="CC16" s="122">
        <v>59</v>
      </c>
      <c r="CD16" s="136">
        <v>871</v>
      </c>
      <c r="CE16" s="158"/>
      <c r="CF16" s="122">
        <v>5</v>
      </c>
      <c r="CG16" s="163">
        <f t="shared" si="25"/>
        <v>2.0827959909886262</v>
      </c>
      <c r="CH16" s="177"/>
      <c r="CI16" s="178"/>
      <c r="CJ16" s="122">
        <v>60</v>
      </c>
      <c r="CK16" s="122">
        <v>69</v>
      </c>
      <c r="CL16" s="136">
        <v>825</v>
      </c>
      <c r="CM16" s="158"/>
      <c r="CN16" s="122">
        <v>4</v>
      </c>
      <c r="CO16" s="161">
        <f>CN16/CL16/S16*1000</f>
        <v>1.7591421169949997</v>
      </c>
      <c r="CP16" s="177"/>
      <c r="CQ16" s="178"/>
      <c r="CR16" s="122">
        <v>70</v>
      </c>
      <c r="CS16" s="162">
        <v>89</v>
      </c>
      <c r="CT16" s="136">
        <v>332</v>
      </c>
      <c r="CU16" s="158"/>
      <c r="CV16" s="162">
        <v>0</v>
      </c>
      <c r="CW16" s="179">
        <v>0</v>
      </c>
      <c r="CX16" s="38"/>
      <c r="CY16" s="74"/>
      <c r="CZ16" s="54"/>
      <c r="DA16" s="54"/>
      <c r="DB16" s="54"/>
      <c r="DC16" s="55"/>
      <c r="DD16" s="54"/>
      <c r="DE16" s="55"/>
      <c r="DF16" s="54"/>
      <c r="DG16" s="56"/>
      <c r="DH16" s="54"/>
      <c r="DI16" s="54"/>
      <c r="DJ16" s="54"/>
      <c r="DK16" s="55"/>
      <c r="DL16" s="54"/>
      <c r="DM16" s="55"/>
      <c r="DN16" s="54"/>
      <c r="DO16" s="56"/>
    </row>
    <row r="17" spans="1:119" ht="61" x14ac:dyDescent="0.2">
      <c r="A17" s="164" t="s">
        <v>209</v>
      </c>
      <c r="B17" s="180" t="s">
        <v>215</v>
      </c>
      <c r="C17" s="145" t="s">
        <v>210</v>
      </c>
      <c r="D17" s="119" t="s">
        <v>204</v>
      </c>
      <c r="E17" s="44">
        <v>2009</v>
      </c>
      <c r="F17" s="44">
        <v>2009</v>
      </c>
      <c r="G17" s="29"/>
      <c r="H17" s="134" t="s">
        <v>143</v>
      </c>
      <c r="I17" s="120" t="s">
        <v>205</v>
      </c>
      <c r="J17" s="120" t="s">
        <v>206</v>
      </c>
      <c r="K17" s="147"/>
      <c r="L17" s="122">
        <v>11</v>
      </c>
      <c r="M17" s="167">
        <v>19886</v>
      </c>
      <c r="N17" s="64">
        <v>13163</v>
      </c>
      <c r="O17" s="63">
        <v>7252</v>
      </c>
      <c r="P17" s="64">
        <f t="shared" ref="P17:P18" si="26">AQ17+AY17+BG17+BO17+BW17+CE17+CM17+CU17</f>
        <v>12605</v>
      </c>
      <c r="Q17" s="29"/>
      <c r="R17" s="29"/>
      <c r="S17" s="113"/>
      <c r="T17" s="29"/>
      <c r="U17" s="29"/>
      <c r="V17" s="36" t="s">
        <v>216</v>
      </c>
      <c r="W17" s="131" t="s">
        <v>128</v>
      </c>
      <c r="X17" s="131"/>
      <c r="Y17" s="131" t="s">
        <v>128</v>
      </c>
      <c r="Z17" s="131"/>
      <c r="AA17" s="132" t="s">
        <v>126</v>
      </c>
      <c r="AB17" s="130" t="s">
        <v>217</v>
      </c>
      <c r="AC17" s="130" t="s">
        <v>212</v>
      </c>
      <c r="AD17" s="132" t="s">
        <v>128</v>
      </c>
      <c r="AE17" s="38"/>
      <c r="AF17" s="38"/>
      <c r="AG17" s="132" t="s">
        <v>128</v>
      </c>
      <c r="AH17" s="132" t="s">
        <v>126</v>
      </c>
      <c r="AI17" s="171" t="s">
        <v>187</v>
      </c>
      <c r="AJ17" s="96" t="s">
        <v>213</v>
      </c>
      <c r="AK17" s="134" t="s">
        <v>128</v>
      </c>
      <c r="AL17" s="38"/>
      <c r="AM17" s="135" t="s">
        <v>218</v>
      </c>
      <c r="AN17" s="122">
        <v>2</v>
      </c>
      <c r="AO17" s="122">
        <v>9</v>
      </c>
      <c r="AP17" s="38"/>
      <c r="AQ17" s="181">
        <v>3858</v>
      </c>
      <c r="AR17" s="68"/>
      <c r="AS17" s="97"/>
      <c r="AT17" s="38"/>
      <c r="AU17" s="182">
        <v>2.5999999999999999E-2</v>
      </c>
      <c r="AV17" s="122">
        <v>10</v>
      </c>
      <c r="AW17" s="122">
        <v>19</v>
      </c>
      <c r="AX17" s="38"/>
      <c r="AY17" s="181">
        <v>2802</v>
      </c>
      <c r="AZ17" s="38"/>
      <c r="BA17" s="41"/>
      <c r="BB17" s="38"/>
      <c r="BC17" s="99">
        <v>4.4999999999999998E-2</v>
      </c>
      <c r="BD17" s="122">
        <v>20</v>
      </c>
      <c r="BE17" s="122">
        <v>29</v>
      </c>
      <c r="BF17" s="38"/>
      <c r="BG17" s="181">
        <v>1565</v>
      </c>
      <c r="BH17" s="38"/>
      <c r="BI17" s="110"/>
      <c r="BJ17" s="38"/>
      <c r="BK17" s="182">
        <v>5.8999999999999997E-2</v>
      </c>
      <c r="BL17" s="122">
        <v>30</v>
      </c>
      <c r="BM17" s="122">
        <v>39</v>
      </c>
      <c r="BN17" s="38"/>
      <c r="BO17" s="42">
        <v>1459</v>
      </c>
      <c r="BP17" s="38"/>
      <c r="BQ17" s="110"/>
      <c r="BR17" s="38"/>
      <c r="BS17" s="99">
        <v>8.4000000000000005E-2</v>
      </c>
      <c r="BT17" s="122">
        <v>40</v>
      </c>
      <c r="BU17" s="122">
        <v>49</v>
      </c>
      <c r="BV17" s="177"/>
      <c r="BW17" s="42">
        <v>1021</v>
      </c>
      <c r="BX17" s="68"/>
      <c r="BY17" s="110"/>
      <c r="BZ17" s="38"/>
      <c r="CA17" s="99">
        <v>9.9000000000000005E-2</v>
      </c>
      <c r="CB17" s="122">
        <v>50</v>
      </c>
      <c r="CC17" s="122">
        <v>59</v>
      </c>
      <c r="CD17" s="177"/>
      <c r="CE17" s="42">
        <v>812</v>
      </c>
      <c r="CF17" s="183"/>
      <c r="CG17" s="110"/>
      <c r="CH17" s="177"/>
      <c r="CI17" s="99">
        <v>0.107</v>
      </c>
      <c r="CJ17" s="122">
        <v>60</v>
      </c>
      <c r="CK17" s="122">
        <v>69</v>
      </c>
      <c r="CL17" s="177"/>
      <c r="CM17" s="42">
        <v>767</v>
      </c>
      <c r="CN17" s="183"/>
      <c r="CO17" s="184"/>
      <c r="CP17" s="177"/>
      <c r="CQ17" s="99">
        <v>0.126</v>
      </c>
      <c r="CR17" s="122">
        <v>70</v>
      </c>
      <c r="CS17" s="162">
        <v>89</v>
      </c>
      <c r="CT17" s="177"/>
      <c r="CU17" s="42">
        <v>321</v>
      </c>
      <c r="CV17" s="68"/>
      <c r="CW17" s="41"/>
      <c r="CX17" s="38"/>
      <c r="CY17" s="99">
        <v>0.159</v>
      </c>
      <c r="CZ17" s="54"/>
      <c r="DA17" s="54"/>
      <c r="DB17" s="54"/>
      <c r="DC17" s="55"/>
      <c r="DD17" s="185"/>
      <c r="DE17" s="55"/>
      <c r="DF17" s="54"/>
      <c r="DG17" s="56"/>
      <c r="DH17" s="54"/>
      <c r="DI17" s="54"/>
      <c r="DJ17" s="54"/>
      <c r="DK17" s="55"/>
      <c r="DL17" s="185"/>
      <c r="DM17" s="55"/>
      <c r="DN17" s="54"/>
      <c r="DO17" s="56"/>
    </row>
    <row r="18" spans="1:119" ht="61" x14ac:dyDescent="0.2">
      <c r="A18" s="164" t="s">
        <v>209</v>
      </c>
      <c r="B18" s="180" t="s">
        <v>219</v>
      </c>
      <c r="C18" s="145" t="s">
        <v>210</v>
      </c>
      <c r="D18" s="119" t="s">
        <v>204</v>
      </c>
      <c r="E18" s="44">
        <v>2009</v>
      </c>
      <c r="F18" s="44">
        <v>2009</v>
      </c>
      <c r="G18" s="29"/>
      <c r="H18" s="134" t="s">
        <v>143</v>
      </c>
      <c r="I18" s="120" t="s">
        <v>205</v>
      </c>
      <c r="J18" s="120" t="s">
        <v>206</v>
      </c>
      <c r="K18" s="147"/>
      <c r="L18" s="122">
        <v>11</v>
      </c>
      <c r="M18" s="167">
        <v>19886</v>
      </c>
      <c r="N18" s="64">
        <v>13163</v>
      </c>
      <c r="O18" s="63">
        <v>7252</v>
      </c>
      <c r="P18" s="64">
        <f t="shared" si="26"/>
        <v>12605</v>
      </c>
      <c r="Q18" s="29"/>
      <c r="R18" s="29"/>
      <c r="S18" s="113"/>
      <c r="T18" s="29"/>
      <c r="U18" s="29"/>
      <c r="V18" s="36" t="s">
        <v>220</v>
      </c>
      <c r="W18" s="131" t="s">
        <v>128</v>
      </c>
      <c r="X18" s="131"/>
      <c r="Y18" s="131" t="s">
        <v>128</v>
      </c>
      <c r="Z18" s="131"/>
      <c r="AA18" s="132" t="s">
        <v>126</v>
      </c>
      <c r="AB18" s="130" t="s">
        <v>217</v>
      </c>
      <c r="AC18" s="130" t="s">
        <v>212</v>
      </c>
      <c r="AD18" s="132" t="s">
        <v>128</v>
      </c>
      <c r="AE18" s="38"/>
      <c r="AF18" s="38"/>
      <c r="AG18" s="132" t="s">
        <v>128</v>
      </c>
      <c r="AH18" s="132" t="s">
        <v>126</v>
      </c>
      <c r="AI18" s="171" t="s">
        <v>187</v>
      </c>
      <c r="AJ18" s="96" t="s">
        <v>213</v>
      </c>
      <c r="AK18" s="134" t="s">
        <v>128</v>
      </c>
      <c r="AL18" s="38"/>
      <c r="AM18" s="135" t="s">
        <v>221</v>
      </c>
      <c r="AN18" s="122">
        <v>2</v>
      </c>
      <c r="AO18" s="122">
        <v>9</v>
      </c>
      <c r="AP18" s="38"/>
      <c r="AQ18" s="181">
        <v>3858</v>
      </c>
      <c r="AR18" s="38"/>
      <c r="AS18" s="97"/>
      <c r="AT18" s="38"/>
      <c r="AU18" s="182">
        <v>2.1000000000000001E-2</v>
      </c>
      <c r="AV18" s="122">
        <v>10</v>
      </c>
      <c r="AW18" s="122">
        <v>19</v>
      </c>
      <c r="AX18" s="38"/>
      <c r="AY18" s="181">
        <v>2802</v>
      </c>
      <c r="AZ18" s="38"/>
      <c r="BA18" s="41"/>
      <c r="BB18" s="38"/>
      <c r="BC18" s="99">
        <v>4.4999999999999998E-2</v>
      </c>
      <c r="BD18" s="122">
        <v>20</v>
      </c>
      <c r="BE18" s="122">
        <v>29</v>
      </c>
      <c r="BF18" s="38"/>
      <c r="BG18" s="181">
        <v>1565</v>
      </c>
      <c r="BH18" s="38"/>
      <c r="BI18" s="110"/>
      <c r="BJ18" s="38"/>
      <c r="BK18" s="182">
        <v>6.0999999999999999E-2</v>
      </c>
      <c r="BL18" s="137">
        <v>30</v>
      </c>
      <c r="BM18" s="122">
        <v>39</v>
      </c>
      <c r="BN18" s="38"/>
      <c r="BO18" s="42">
        <v>1459</v>
      </c>
      <c r="BP18" s="38"/>
      <c r="BQ18" s="110"/>
      <c r="BR18" s="38"/>
      <c r="BS18" s="99">
        <v>7.1999999999999995E-2</v>
      </c>
      <c r="BT18" s="122">
        <v>40</v>
      </c>
      <c r="BU18" s="122">
        <v>49</v>
      </c>
      <c r="BV18" s="177"/>
      <c r="BW18" s="42">
        <v>1021</v>
      </c>
      <c r="BX18" s="38"/>
      <c r="BY18" s="110"/>
      <c r="BZ18" s="38"/>
      <c r="CA18" s="99">
        <v>9.4E-2</v>
      </c>
      <c r="CB18" s="122">
        <v>50</v>
      </c>
      <c r="CC18" s="122">
        <v>59</v>
      </c>
      <c r="CD18" s="177"/>
      <c r="CE18" s="42">
        <v>812</v>
      </c>
      <c r="CF18" s="177"/>
      <c r="CG18" s="110"/>
      <c r="CH18" s="177"/>
      <c r="CI18" s="99">
        <v>0.11799999999999999</v>
      </c>
      <c r="CJ18" s="122">
        <v>60</v>
      </c>
      <c r="CK18" s="122">
        <v>69</v>
      </c>
      <c r="CL18" s="177"/>
      <c r="CM18" s="42">
        <v>767</v>
      </c>
      <c r="CN18" s="177"/>
      <c r="CO18" s="184"/>
      <c r="CP18" s="177"/>
      <c r="CQ18" s="99">
        <v>0.13800000000000001</v>
      </c>
      <c r="CR18" s="122">
        <v>70</v>
      </c>
      <c r="CS18" s="162">
        <v>89</v>
      </c>
      <c r="CT18" s="177"/>
      <c r="CU18" s="42">
        <v>321</v>
      </c>
      <c r="CV18" s="38"/>
      <c r="CW18" s="41"/>
      <c r="CX18" s="38"/>
      <c r="CY18" s="99">
        <v>0.115</v>
      </c>
      <c r="CZ18" s="54"/>
      <c r="DA18" s="54"/>
      <c r="DB18" s="54"/>
      <c r="DC18" s="55"/>
      <c r="DD18" s="54"/>
      <c r="DE18" s="55"/>
      <c r="DF18" s="54"/>
      <c r="DG18" s="56"/>
      <c r="DH18" s="54"/>
      <c r="DI18" s="54"/>
      <c r="DJ18" s="54"/>
      <c r="DK18" s="55"/>
      <c r="DL18" s="54"/>
      <c r="DM18" s="55"/>
      <c r="DN18" s="54"/>
      <c r="DO18" s="56"/>
    </row>
    <row r="19" spans="1:119" ht="109" x14ac:dyDescent="0.2">
      <c r="A19" s="26" t="s">
        <v>222</v>
      </c>
      <c r="B19" s="57" t="s">
        <v>131</v>
      </c>
      <c r="C19" s="186" t="s">
        <v>223</v>
      </c>
      <c r="D19" s="70" t="s">
        <v>224</v>
      </c>
      <c r="E19" s="162">
        <v>1996</v>
      </c>
      <c r="F19" s="162">
        <v>1996</v>
      </c>
      <c r="G19" s="29"/>
      <c r="H19" s="30" t="s">
        <v>225</v>
      </c>
      <c r="I19" s="30" t="s">
        <v>226</v>
      </c>
      <c r="J19" s="30" t="s">
        <v>227</v>
      </c>
      <c r="K19" s="62"/>
      <c r="L19" s="30">
        <v>2</v>
      </c>
      <c r="M19" s="82">
        <f>628+515</f>
        <v>1143</v>
      </c>
      <c r="N19" s="107">
        <f>601+482</f>
        <v>1083</v>
      </c>
      <c r="O19" s="82">
        <f>M19-N19</f>
        <v>60</v>
      </c>
      <c r="P19" s="107">
        <f>601+482</f>
        <v>1083</v>
      </c>
      <c r="Q19" s="32"/>
      <c r="R19" s="64">
        <v>66</v>
      </c>
      <c r="S19" s="32"/>
      <c r="T19" s="32"/>
      <c r="U19" s="103">
        <f t="shared" ref="U19:U20" si="27">R19/P19</f>
        <v>6.0941828254847646E-2</v>
      </c>
      <c r="V19" s="40" t="s">
        <v>228</v>
      </c>
      <c r="W19" s="37" t="s">
        <v>126</v>
      </c>
      <c r="X19" s="37" t="s">
        <v>229</v>
      </c>
      <c r="Y19" s="37" t="s">
        <v>126</v>
      </c>
      <c r="Z19" s="37" t="s">
        <v>230</v>
      </c>
      <c r="AA19" s="37" t="s">
        <v>128</v>
      </c>
      <c r="AB19" s="38"/>
      <c r="AC19" s="38"/>
      <c r="AD19" s="65" t="s">
        <v>128</v>
      </c>
      <c r="AE19" s="38"/>
      <c r="AF19" s="38"/>
      <c r="AG19" s="65" t="s">
        <v>128</v>
      </c>
      <c r="AH19" s="65" t="s">
        <v>126</v>
      </c>
      <c r="AI19" s="38"/>
      <c r="AJ19" s="37" t="s">
        <v>231</v>
      </c>
      <c r="AK19" s="66" t="s">
        <v>128</v>
      </c>
      <c r="AL19" s="40" t="s">
        <v>232</v>
      </c>
      <c r="AM19" s="67" t="s">
        <v>233</v>
      </c>
      <c r="AN19" s="30">
        <v>0</v>
      </c>
      <c r="AO19" s="30">
        <v>1</v>
      </c>
      <c r="AP19" s="38"/>
      <c r="AQ19" s="42">
        <v>25</v>
      </c>
      <c r="AR19" s="38"/>
      <c r="AS19" s="41"/>
      <c r="AT19" s="30">
        <v>0</v>
      </c>
      <c r="AU19" s="99">
        <v>0</v>
      </c>
      <c r="AV19" s="44">
        <v>1</v>
      </c>
      <c r="AW19" s="44">
        <v>4</v>
      </c>
      <c r="AX19" s="38"/>
      <c r="AY19" s="42">
        <f>53+43</f>
        <v>96</v>
      </c>
      <c r="AZ19" s="38"/>
      <c r="BA19" s="41"/>
      <c r="BB19" s="30">
        <v>3</v>
      </c>
      <c r="BC19" s="46">
        <f t="shared" ref="BC19:BC20" si="28">BB19/AY19</f>
        <v>3.125E-2</v>
      </c>
      <c r="BD19" s="30">
        <v>5</v>
      </c>
      <c r="BE19" s="30">
        <v>9</v>
      </c>
      <c r="BF19" s="38"/>
      <c r="BG19" s="42">
        <v>148</v>
      </c>
      <c r="BH19" s="38"/>
      <c r="BI19" s="41"/>
      <c r="BJ19" s="30">
        <f>4+4-2-3</f>
        <v>3</v>
      </c>
      <c r="BK19" s="46">
        <f t="shared" ref="BK19:BK20" si="29">BJ19/BG19</f>
        <v>2.0270270270270271E-2</v>
      </c>
      <c r="BL19" s="45">
        <v>10</v>
      </c>
      <c r="BM19" s="30">
        <v>14</v>
      </c>
      <c r="BN19" s="38"/>
      <c r="BO19" s="42">
        <v>140</v>
      </c>
      <c r="BP19" s="38"/>
      <c r="BQ19" s="41"/>
      <c r="BR19" s="30">
        <f>7+2-3-1</f>
        <v>5</v>
      </c>
      <c r="BS19" s="46">
        <f>BR19/BO19</f>
        <v>3.5714285714285712E-2</v>
      </c>
      <c r="BT19" s="30">
        <v>15</v>
      </c>
      <c r="BU19" s="44">
        <v>89</v>
      </c>
      <c r="BV19" s="38"/>
      <c r="BW19" s="42">
        <v>674</v>
      </c>
      <c r="BX19" s="38"/>
      <c r="BY19" s="41"/>
      <c r="BZ19" s="81">
        <f>33+13-5-5</f>
        <v>36</v>
      </c>
      <c r="CA19" s="46">
        <f>BZ19/BW19</f>
        <v>5.3412462908011868E-2</v>
      </c>
      <c r="CB19" s="50"/>
      <c r="CC19" s="50"/>
      <c r="CD19" s="50"/>
      <c r="CE19" s="51"/>
      <c r="CF19" s="50"/>
      <c r="CG19" s="51"/>
      <c r="CH19" s="50"/>
      <c r="CI19" s="52"/>
      <c r="CJ19" s="50"/>
      <c r="CK19" s="50"/>
      <c r="CL19" s="50"/>
      <c r="CM19" s="51"/>
      <c r="CN19" s="50"/>
      <c r="CO19" s="51"/>
      <c r="CP19" s="50"/>
      <c r="CQ19" s="52"/>
      <c r="CR19" s="50"/>
      <c r="CS19" s="50"/>
      <c r="CT19" s="50"/>
      <c r="CU19" s="51"/>
      <c r="CV19" s="53"/>
      <c r="CW19" s="51"/>
      <c r="CX19" s="50"/>
      <c r="CY19" s="52"/>
      <c r="CZ19" s="54"/>
      <c r="DA19" s="54"/>
      <c r="DB19" s="54"/>
      <c r="DC19" s="55"/>
      <c r="DD19" s="54"/>
      <c r="DE19" s="55"/>
      <c r="DF19" s="54"/>
      <c r="DG19" s="56"/>
      <c r="DH19" s="54"/>
      <c r="DI19" s="54"/>
      <c r="DJ19" s="54"/>
      <c r="DK19" s="55"/>
      <c r="DL19" s="54"/>
      <c r="DM19" s="55"/>
      <c r="DN19" s="54"/>
      <c r="DO19" s="56"/>
    </row>
    <row r="20" spans="1:119" ht="97" x14ac:dyDescent="0.2">
      <c r="A20" s="26" t="s">
        <v>234</v>
      </c>
      <c r="B20" s="57" t="s">
        <v>235</v>
      </c>
      <c r="C20" s="28" t="s">
        <v>236</v>
      </c>
      <c r="D20" s="187" t="s">
        <v>237</v>
      </c>
      <c r="E20" s="162">
        <v>2014</v>
      </c>
      <c r="F20" s="162">
        <v>2014</v>
      </c>
      <c r="G20" s="29"/>
      <c r="H20" s="30" t="s">
        <v>143</v>
      </c>
      <c r="I20" s="30" t="s">
        <v>238</v>
      </c>
      <c r="J20" s="61" t="s">
        <v>239</v>
      </c>
      <c r="K20" s="62"/>
      <c r="L20" s="30"/>
      <c r="M20" s="63"/>
      <c r="N20" s="63">
        <v>246</v>
      </c>
      <c r="O20" s="188">
        <v>2</v>
      </c>
      <c r="P20" s="63">
        <v>246</v>
      </c>
      <c r="Q20" s="189"/>
      <c r="R20" s="64">
        <v>55</v>
      </c>
      <c r="S20" s="32"/>
      <c r="T20" s="32"/>
      <c r="U20" s="103">
        <f t="shared" si="27"/>
        <v>0.22357723577235772</v>
      </c>
      <c r="V20" s="36" t="s">
        <v>240</v>
      </c>
      <c r="W20" s="151" t="s">
        <v>128</v>
      </c>
      <c r="X20" s="152"/>
      <c r="Y20" s="151" t="s">
        <v>126</v>
      </c>
      <c r="Z20" s="151">
        <v>89</v>
      </c>
      <c r="AA20" s="151" t="s">
        <v>128</v>
      </c>
      <c r="AB20" s="38"/>
      <c r="AC20" s="29"/>
      <c r="AD20" s="151" t="s">
        <v>126</v>
      </c>
      <c r="AE20" s="38"/>
      <c r="AF20" s="190" t="s">
        <v>241</v>
      </c>
      <c r="AG20" s="191"/>
      <c r="AH20" s="191"/>
      <c r="AI20" s="38"/>
      <c r="AJ20" s="38"/>
      <c r="AK20" s="66" t="s">
        <v>126</v>
      </c>
      <c r="AL20" s="58" t="s">
        <v>242</v>
      </c>
      <c r="AM20" s="192" t="s">
        <v>243</v>
      </c>
      <c r="AN20" s="30">
        <v>0</v>
      </c>
      <c r="AO20" s="30">
        <v>18</v>
      </c>
      <c r="AP20" s="38"/>
      <c r="AQ20" s="42">
        <v>74</v>
      </c>
      <c r="AR20" s="38"/>
      <c r="AS20" s="41"/>
      <c r="AT20" s="193">
        <v>9</v>
      </c>
      <c r="AU20" s="43">
        <f>AT20/AQ20</f>
        <v>0.12162162162162163</v>
      </c>
      <c r="AV20" s="44">
        <v>19</v>
      </c>
      <c r="AW20" s="44">
        <v>44</v>
      </c>
      <c r="AX20" s="38"/>
      <c r="AY20" s="42">
        <v>116</v>
      </c>
      <c r="AZ20" s="38"/>
      <c r="BA20" s="41"/>
      <c r="BB20" s="30">
        <v>33</v>
      </c>
      <c r="BC20" s="46">
        <f t="shared" si="28"/>
        <v>0.28448275862068967</v>
      </c>
      <c r="BD20" s="30">
        <v>45</v>
      </c>
      <c r="BE20" s="30">
        <v>89</v>
      </c>
      <c r="BF20" s="38"/>
      <c r="BG20" s="42">
        <v>56</v>
      </c>
      <c r="BH20" s="38"/>
      <c r="BI20" s="41"/>
      <c r="BJ20" s="30">
        <v>13</v>
      </c>
      <c r="BK20" s="46">
        <f t="shared" si="29"/>
        <v>0.23214285714285715</v>
      </c>
      <c r="BL20" s="50"/>
      <c r="BM20" s="50"/>
      <c r="BN20" s="50"/>
      <c r="BO20" s="51"/>
      <c r="BP20" s="50"/>
      <c r="BQ20" s="51"/>
      <c r="BR20" s="50"/>
      <c r="BS20" s="52"/>
      <c r="BT20" s="50"/>
      <c r="BU20" s="50"/>
      <c r="BV20" s="50"/>
      <c r="BW20" s="51"/>
      <c r="BX20" s="50"/>
      <c r="BY20" s="51"/>
      <c r="BZ20" s="50"/>
      <c r="CA20" s="52"/>
      <c r="CB20" s="50"/>
      <c r="CC20" s="50"/>
      <c r="CD20" s="50"/>
      <c r="CE20" s="51"/>
      <c r="CF20" s="53"/>
      <c r="CG20" s="51"/>
      <c r="CH20" s="50"/>
      <c r="CI20" s="52"/>
      <c r="CJ20" s="54"/>
      <c r="CK20" s="54"/>
      <c r="CL20" s="54"/>
      <c r="CM20" s="55"/>
      <c r="CN20" s="54"/>
      <c r="CO20" s="55"/>
      <c r="CP20" s="54"/>
      <c r="CQ20" s="56"/>
      <c r="CR20" s="54"/>
      <c r="CS20" s="54"/>
      <c r="CT20" s="54"/>
      <c r="CU20" s="55"/>
      <c r="CV20" s="54"/>
      <c r="CW20" s="55"/>
      <c r="CX20" s="54"/>
      <c r="CY20" s="56"/>
      <c r="CZ20" s="54"/>
      <c r="DA20" s="54"/>
      <c r="DB20" s="54"/>
      <c r="DC20" s="55"/>
      <c r="DD20" s="54"/>
      <c r="DE20" s="55"/>
      <c r="DF20" s="54"/>
      <c r="DG20" s="56"/>
      <c r="DH20" s="54"/>
      <c r="DI20" s="54"/>
      <c r="DJ20" s="54"/>
      <c r="DK20" s="55"/>
      <c r="DL20" s="54"/>
      <c r="DM20" s="55"/>
      <c r="DN20" s="54"/>
      <c r="DO20" s="56"/>
    </row>
    <row r="21" spans="1:119" ht="49" x14ac:dyDescent="0.2">
      <c r="A21" s="26" t="s">
        <v>244</v>
      </c>
      <c r="B21" s="57" t="s">
        <v>120</v>
      </c>
      <c r="C21" s="69" t="s">
        <v>245</v>
      </c>
      <c r="D21" s="70" t="s">
        <v>246</v>
      </c>
      <c r="E21" s="162">
        <v>1995</v>
      </c>
      <c r="F21" s="162">
        <v>1995</v>
      </c>
      <c r="G21" s="29"/>
      <c r="H21" s="30" t="s">
        <v>143</v>
      </c>
      <c r="I21" s="30" t="s">
        <v>144</v>
      </c>
      <c r="J21" s="30" t="s">
        <v>247</v>
      </c>
      <c r="K21" s="62"/>
      <c r="L21" s="30">
        <v>1</v>
      </c>
      <c r="M21" s="63">
        <v>518</v>
      </c>
      <c r="N21" s="63">
        <v>518</v>
      </c>
      <c r="O21" s="32"/>
      <c r="P21" s="29"/>
      <c r="Q21" s="64">
        <v>67</v>
      </c>
      <c r="R21" s="32"/>
      <c r="S21" s="32"/>
      <c r="T21" s="32"/>
      <c r="U21" s="32"/>
      <c r="V21" s="36" t="s">
        <v>248</v>
      </c>
      <c r="W21" s="38"/>
      <c r="X21" s="38"/>
      <c r="Y21" s="38"/>
      <c r="Z21" s="38"/>
      <c r="AA21" s="38"/>
      <c r="AB21" s="38"/>
      <c r="AC21" s="29"/>
      <c r="AD21" s="38"/>
      <c r="AE21" s="38"/>
      <c r="AF21" s="38"/>
      <c r="AG21" s="191"/>
      <c r="AH21" s="191"/>
      <c r="AI21" s="38"/>
      <c r="AJ21" s="38"/>
      <c r="AK21" s="191"/>
      <c r="AL21" s="58" t="s">
        <v>249</v>
      </c>
      <c r="AM21" s="41"/>
      <c r="AN21" s="30">
        <v>0</v>
      </c>
      <c r="AO21" s="30">
        <v>5</v>
      </c>
      <c r="AP21" s="30">
        <v>76</v>
      </c>
      <c r="AQ21" s="41"/>
      <c r="AR21" s="45">
        <v>2</v>
      </c>
      <c r="AS21" s="41"/>
      <c r="AT21" s="38"/>
      <c r="AU21" s="41"/>
      <c r="AV21" s="44">
        <v>6</v>
      </c>
      <c r="AW21" s="44">
        <v>14</v>
      </c>
      <c r="AX21" s="44">
        <v>149</v>
      </c>
      <c r="AY21" s="41"/>
      <c r="AZ21" s="45">
        <v>17</v>
      </c>
      <c r="BA21" s="41"/>
      <c r="BB21" s="38"/>
      <c r="BC21" s="41"/>
      <c r="BD21" s="30">
        <v>25</v>
      </c>
      <c r="BE21" s="30">
        <v>34</v>
      </c>
      <c r="BF21" s="30">
        <v>94</v>
      </c>
      <c r="BG21" s="41"/>
      <c r="BH21" s="45">
        <v>13</v>
      </c>
      <c r="BI21" s="38"/>
      <c r="BJ21" s="68"/>
      <c r="BK21" s="74"/>
      <c r="BL21" s="45">
        <v>35</v>
      </c>
      <c r="BM21" s="30">
        <v>44</v>
      </c>
      <c r="BN21" s="30">
        <v>47</v>
      </c>
      <c r="BO21" s="41"/>
      <c r="BP21" s="45">
        <v>6</v>
      </c>
      <c r="BQ21" s="41"/>
      <c r="BR21" s="68"/>
      <c r="BS21" s="41"/>
      <c r="BT21" s="30">
        <v>45</v>
      </c>
      <c r="BU21" s="30">
        <v>54</v>
      </c>
      <c r="BV21" s="30">
        <v>25</v>
      </c>
      <c r="BW21" s="41"/>
      <c r="BX21" s="30">
        <v>12</v>
      </c>
      <c r="BY21" s="41"/>
      <c r="BZ21" s="38"/>
      <c r="CA21" s="41"/>
      <c r="CB21" s="30">
        <v>55</v>
      </c>
      <c r="CC21" s="44">
        <v>89</v>
      </c>
      <c r="CD21" s="30">
        <v>33</v>
      </c>
      <c r="CE21" s="41"/>
      <c r="CF21" s="30">
        <v>6</v>
      </c>
      <c r="CG21" s="41"/>
      <c r="CH21" s="38"/>
      <c r="CI21" s="41"/>
      <c r="CJ21" s="50"/>
      <c r="CK21" s="50"/>
      <c r="CL21" s="50"/>
      <c r="CM21" s="51"/>
      <c r="CN21" s="50"/>
      <c r="CO21" s="51"/>
      <c r="CP21" s="50"/>
      <c r="CQ21" s="52"/>
      <c r="CR21" s="50"/>
      <c r="CS21" s="50"/>
      <c r="CT21" s="50"/>
      <c r="CU21" s="51"/>
      <c r="CV21" s="53"/>
      <c r="CW21" s="51"/>
      <c r="CX21" s="50"/>
      <c r="CY21" s="52"/>
      <c r="CZ21" s="54"/>
      <c r="DA21" s="54"/>
      <c r="DB21" s="54"/>
      <c r="DC21" s="55"/>
      <c r="DD21" s="54"/>
      <c r="DE21" s="55"/>
      <c r="DF21" s="54"/>
      <c r="DG21" s="56"/>
      <c r="DH21" s="54"/>
      <c r="DI21" s="54"/>
      <c r="DJ21" s="54"/>
      <c r="DK21" s="55"/>
      <c r="DL21" s="54"/>
      <c r="DM21" s="55"/>
      <c r="DN21" s="54"/>
      <c r="DO21" s="56"/>
    </row>
    <row r="22" spans="1:119" ht="73" x14ac:dyDescent="0.2">
      <c r="A22" s="26" t="s">
        <v>250</v>
      </c>
      <c r="B22" s="194" t="s">
        <v>120</v>
      </c>
      <c r="C22" s="28" t="s">
        <v>251</v>
      </c>
      <c r="D22" s="29"/>
      <c r="E22" s="29"/>
      <c r="F22" s="29"/>
      <c r="G22" s="29"/>
      <c r="H22" s="30" t="s">
        <v>143</v>
      </c>
      <c r="I22" s="30" t="s">
        <v>144</v>
      </c>
      <c r="J22" s="30" t="s">
        <v>247</v>
      </c>
      <c r="K22" s="62"/>
      <c r="L22" s="30">
        <v>1</v>
      </c>
      <c r="M22" s="63">
        <v>518</v>
      </c>
      <c r="N22" s="64">
        <v>498</v>
      </c>
      <c r="O22" s="82">
        <f>M22-N22</f>
        <v>20</v>
      </c>
      <c r="P22" s="64">
        <v>498</v>
      </c>
      <c r="Q22" s="64">
        <v>67</v>
      </c>
      <c r="R22" s="32"/>
      <c r="S22" s="113"/>
      <c r="T22" s="32"/>
      <c r="U22" s="32"/>
      <c r="V22" s="36" t="s">
        <v>252</v>
      </c>
      <c r="W22" s="37" t="s">
        <v>126</v>
      </c>
      <c r="X22" s="37"/>
      <c r="Y22" s="37" t="s">
        <v>128</v>
      </c>
      <c r="Z22" s="37"/>
      <c r="AA22" s="37" t="s">
        <v>126</v>
      </c>
      <c r="AB22" s="84" t="s">
        <v>253</v>
      </c>
      <c r="AC22" s="38"/>
      <c r="AD22" s="65" t="s">
        <v>128</v>
      </c>
      <c r="AE22" s="38"/>
      <c r="AF22" s="38"/>
      <c r="AG22" s="65" t="s">
        <v>128</v>
      </c>
      <c r="AH22" s="65" t="s">
        <v>126</v>
      </c>
      <c r="AI22" s="38"/>
      <c r="AJ22" s="37" t="s">
        <v>254</v>
      </c>
      <c r="AK22" s="66" t="s">
        <v>128</v>
      </c>
      <c r="AL22" s="40" t="s">
        <v>255</v>
      </c>
      <c r="AM22" s="41"/>
      <c r="AN22" s="30">
        <v>0</v>
      </c>
      <c r="AO22" s="30">
        <v>5</v>
      </c>
      <c r="AP22" s="193">
        <v>76</v>
      </c>
      <c r="AQ22" s="42">
        <v>71</v>
      </c>
      <c r="AR22" s="45">
        <v>2</v>
      </c>
      <c r="AS22" s="97"/>
      <c r="AT22" s="38"/>
      <c r="AU22" s="74"/>
      <c r="AV22" s="44">
        <v>6</v>
      </c>
      <c r="AW22" s="44">
        <v>14</v>
      </c>
      <c r="AX22" s="193">
        <v>149</v>
      </c>
      <c r="AY22" s="109">
        <v>147</v>
      </c>
      <c r="AZ22" s="86">
        <v>17</v>
      </c>
      <c r="BA22" s="97"/>
      <c r="BB22" s="38"/>
      <c r="BC22" s="74"/>
      <c r="BD22" s="30">
        <v>15</v>
      </c>
      <c r="BE22" s="30">
        <v>24</v>
      </c>
      <c r="BF22" s="193">
        <v>94</v>
      </c>
      <c r="BG22" s="109">
        <v>93</v>
      </c>
      <c r="BH22" s="86">
        <v>11</v>
      </c>
      <c r="BI22" s="97"/>
      <c r="BJ22" s="38"/>
      <c r="BK22" s="74"/>
      <c r="BL22" s="30">
        <v>25</v>
      </c>
      <c r="BM22" s="30">
        <v>34</v>
      </c>
      <c r="BN22" s="30">
        <v>94</v>
      </c>
      <c r="BO22" s="42">
        <v>92</v>
      </c>
      <c r="BP22" s="45">
        <v>13</v>
      </c>
      <c r="BQ22" s="41"/>
      <c r="BR22" s="38"/>
      <c r="BS22" s="74"/>
      <c r="BT22" s="30">
        <v>35</v>
      </c>
      <c r="BU22" s="30">
        <v>44</v>
      </c>
      <c r="BV22" s="30">
        <v>47</v>
      </c>
      <c r="BW22" s="42">
        <v>44</v>
      </c>
      <c r="BX22" s="45">
        <v>6</v>
      </c>
      <c r="BY22" s="41"/>
      <c r="BZ22" s="38"/>
      <c r="CA22" s="74"/>
      <c r="CB22" s="30">
        <v>45</v>
      </c>
      <c r="CC22" s="30">
        <v>54</v>
      </c>
      <c r="CD22" s="30">
        <v>25</v>
      </c>
      <c r="CE22" s="42">
        <v>24</v>
      </c>
      <c r="CF22" s="45">
        <v>12</v>
      </c>
      <c r="CG22" s="41"/>
      <c r="CH22" s="38"/>
      <c r="CI22" s="74"/>
      <c r="CJ22" s="44">
        <v>55</v>
      </c>
      <c r="CK22" s="44">
        <v>89</v>
      </c>
      <c r="CL22" s="30">
        <v>33</v>
      </c>
      <c r="CM22" s="42">
        <v>27</v>
      </c>
      <c r="CN22" s="45">
        <v>6</v>
      </c>
      <c r="CO22" s="41"/>
      <c r="CP22" s="38"/>
      <c r="CQ22" s="74"/>
      <c r="CR22" s="50"/>
      <c r="CS22" s="50"/>
      <c r="CT22" s="50"/>
      <c r="CU22" s="51"/>
      <c r="CV22" s="53"/>
      <c r="CW22" s="51"/>
      <c r="CX22" s="50"/>
      <c r="CY22" s="52"/>
      <c r="CZ22" s="54"/>
      <c r="DA22" s="54"/>
      <c r="DB22" s="54"/>
      <c r="DC22" s="55"/>
      <c r="DD22" s="54"/>
      <c r="DE22" s="55"/>
      <c r="DF22" s="54"/>
      <c r="DG22" s="56"/>
      <c r="DH22" s="54"/>
      <c r="DI22" s="54"/>
      <c r="DJ22" s="54"/>
      <c r="DK22" s="55"/>
      <c r="DL22" s="54"/>
      <c r="DM22" s="55"/>
      <c r="DN22" s="54"/>
      <c r="DO22" s="56"/>
    </row>
    <row r="23" spans="1:119" ht="73" x14ac:dyDescent="0.2">
      <c r="A23" s="26" t="s">
        <v>256</v>
      </c>
      <c r="B23" s="194" t="s">
        <v>141</v>
      </c>
      <c r="C23" s="195" t="s">
        <v>257</v>
      </c>
      <c r="D23" s="70" t="s">
        <v>258</v>
      </c>
      <c r="E23" s="122"/>
      <c r="F23" s="122"/>
      <c r="G23" s="29"/>
      <c r="H23" s="30" t="s">
        <v>143</v>
      </c>
      <c r="I23" s="196" t="s">
        <v>238</v>
      </c>
      <c r="J23" s="197" t="s">
        <v>259</v>
      </c>
      <c r="K23" s="62"/>
      <c r="L23" s="30">
        <v>1</v>
      </c>
      <c r="M23" s="63">
        <v>220</v>
      </c>
      <c r="N23" s="64">
        <v>220</v>
      </c>
      <c r="O23" s="82"/>
      <c r="P23" s="38"/>
      <c r="Q23" s="64">
        <v>41</v>
      </c>
      <c r="R23" s="32"/>
      <c r="S23" s="82"/>
      <c r="T23" s="32"/>
      <c r="U23" s="32"/>
      <c r="V23" s="36" t="s">
        <v>260</v>
      </c>
      <c r="W23" s="38"/>
      <c r="X23" s="38"/>
      <c r="Y23" s="38"/>
      <c r="Z23" s="38"/>
      <c r="AA23" s="38"/>
      <c r="AB23" s="38"/>
      <c r="AC23" s="38"/>
      <c r="AD23" s="65" t="s">
        <v>128</v>
      </c>
      <c r="AE23" s="38"/>
      <c r="AF23" s="38"/>
      <c r="AG23" s="38"/>
      <c r="AH23" s="38"/>
      <c r="AI23" s="38"/>
      <c r="AJ23" s="38"/>
      <c r="AK23" s="66" t="s">
        <v>128</v>
      </c>
      <c r="AL23" s="38"/>
      <c r="AM23" s="41"/>
      <c r="AN23" s="30">
        <v>0</v>
      </c>
      <c r="AO23" s="30">
        <v>10</v>
      </c>
      <c r="AP23" s="193">
        <v>92</v>
      </c>
      <c r="AQ23" s="38"/>
      <c r="AR23" s="45">
        <v>19</v>
      </c>
      <c r="AS23" s="97"/>
      <c r="AT23" s="38"/>
      <c r="AU23" s="74"/>
      <c r="AV23" s="44">
        <v>11</v>
      </c>
      <c r="AW23" s="44">
        <v>20</v>
      </c>
      <c r="AX23" s="193">
        <v>42</v>
      </c>
      <c r="AY23" s="41"/>
      <c r="AZ23" s="86">
        <v>3</v>
      </c>
      <c r="BA23" s="97"/>
      <c r="BB23" s="38"/>
      <c r="BC23" s="74"/>
      <c r="BD23" s="30">
        <v>21</v>
      </c>
      <c r="BE23" s="30">
        <v>30</v>
      </c>
      <c r="BF23" s="193">
        <v>26</v>
      </c>
      <c r="BG23" s="41"/>
      <c r="BH23" s="86">
        <v>9</v>
      </c>
      <c r="BI23" s="97"/>
      <c r="BJ23" s="38"/>
      <c r="BK23" s="74"/>
      <c r="BL23" s="30">
        <v>31</v>
      </c>
      <c r="BM23" s="30">
        <v>40</v>
      </c>
      <c r="BN23" s="30">
        <v>32</v>
      </c>
      <c r="BO23" s="41"/>
      <c r="BP23" s="45">
        <v>7</v>
      </c>
      <c r="BQ23" s="97"/>
      <c r="BR23" s="38"/>
      <c r="BS23" s="74"/>
      <c r="BT23" s="30">
        <v>41</v>
      </c>
      <c r="BU23" s="30">
        <v>89</v>
      </c>
      <c r="BV23" s="30">
        <v>28</v>
      </c>
      <c r="BW23" s="41"/>
      <c r="BX23" s="45">
        <v>3</v>
      </c>
      <c r="BY23" s="97"/>
      <c r="BZ23" s="38"/>
      <c r="CA23" s="74"/>
      <c r="CB23" s="50"/>
      <c r="CC23" s="50"/>
      <c r="CD23" s="50"/>
      <c r="CE23" s="51"/>
      <c r="CF23" s="53"/>
      <c r="CG23" s="51"/>
      <c r="CH23" s="50"/>
      <c r="CI23" s="52"/>
      <c r="CJ23" s="54"/>
      <c r="CK23" s="54"/>
      <c r="CL23" s="54"/>
      <c r="CM23" s="55"/>
      <c r="CN23" s="54"/>
      <c r="CO23" s="55"/>
      <c r="CP23" s="54"/>
      <c r="CQ23" s="56"/>
      <c r="CR23" s="54"/>
      <c r="CS23" s="54"/>
      <c r="CT23" s="54"/>
      <c r="CU23" s="55"/>
      <c r="CV23" s="54"/>
      <c r="CW23" s="55"/>
      <c r="CX23" s="54"/>
      <c r="CY23" s="56"/>
      <c r="CZ23" s="54"/>
      <c r="DA23" s="54"/>
      <c r="DB23" s="54"/>
      <c r="DC23" s="55"/>
      <c r="DD23" s="54"/>
      <c r="DE23" s="55"/>
      <c r="DF23" s="54"/>
      <c r="DG23" s="56"/>
      <c r="DH23" s="54"/>
      <c r="DI23" s="54"/>
      <c r="DJ23" s="54"/>
      <c r="DK23" s="55"/>
      <c r="DL23" s="54"/>
      <c r="DM23" s="55"/>
      <c r="DN23" s="54"/>
      <c r="DO23" s="56"/>
    </row>
    <row r="24" spans="1:119" ht="157" x14ac:dyDescent="0.2">
      <c r="A24" s="198" t="s">
        <v>256</v>
      </c>
      <c r="B24" s="199" t="s">
        <v>131</v>
      </c>
      <c r="C24" s="195" t="s">
        <v>257</v>
      </c>
      <c r="D24" s="70" t="s">
        <v>258</v>
      </c>
      <c r="E24" s="122"/>
      <c r="F24" s="122"/>
      <c r="G24" s="29"/>
      <c r="H24" s="200" t="s">
        <v>143</v>
      </c>
      <c r="I24" s="196" t="s">
        <v>238</v>
      </c>
      <c r="J24" s="197" t="s">
        <v>259</v>
      </c>
      <c r="K24" s="121"/>
      <c r="L24" s="162">
        <v>1</v>
      </c>
      <c r="M24" s="201">
        <v>220</v>
      </c>
      <c r="N24" s="168">
        <v>150</v>
      </c>
      <c r="O24" s="162"/>
      <c r="P24" s="168">
        <v>125</v>
      </c>
      <c r="Q24" s="38"/>
      <c r="R24" s="202">
        <v>24</v>
      </c>
      <c r="S24" s="203"/>
      <c r="T24" s="126"/>
      <c r="U24" s="204">
        <f t="shared" ref="U24:U26" si="30">R24/P24</f>
        <v>0.192</v>
      </c>
      <c r="V24" s="36" t="s">
        <v>261</v>
      </c>
      <c r="W24" s="131" t="s">
        <v>128</v>
      </c>
      <c r="X24" s="131"/>
      <c r="Y24" s="131" t="s">
        <v>128</v>
      </c>
      <c r="Z24" s="131"/>
      <c r="AA24" s="131" t="s">
        <v>128</v>
      </c>
      <c r="AB24" s="38"/>
      <c r="AC24" s="38"/>
      <c r="AD24" s="154" t="s">
        <v>128</v>
      </c>
      <c r="AE24" s="38"/>
      <c r="AF24" s="38"/>
      <c r="AG24" s="154" t="s">
        <v>126</v>
      </c>
      <c r="AH24" s="154" t="s">
        <v>128</v>
      </c>
      <c r="AI24" s="38"/>
      <c r="AJ24" s="38"/>
      <c r="AK24" s="205" t="s">
        <v>128</v>
      </c>
      <c r="AL24" s="38"/>
      <c r="AM24" s="41"/>
      <c r="AN24" s="162">
        <v>0</v>
      </c>
      <c r="AO24" s="162">
        <v>10</v>
      </c>
      <c r="AP24" s="38"/>
      <c r="AQ24" s="181">
        <v>54</v>
      </c>
      <c r="AR24" s="68"/>
      <c r="AS24" s="97"/>
      <c r="AT24" s="162">
        <v>7</v>
      </c>
      <c r="AU24" s="206">
        <f t="shared" ref="AU24:AU26" si="31">AT24/AQ24</f>
        <v>0.12962962962962962</v>
      </c>
      <c r="AV24" s="162">
        <v>11</v>
      </c>
      <c r="AW24" s="162">
        <v>20</v>
      </c>
      <c r="AX24" s="38"/>
      <c r="AY24" s="181">
        <v>25</v>
      </c>
      <c r="AZ24" s="68"/>
      <c r="BA24" s="97"/>
      <c r="BB24" s="162">
        <v>1</v>
      </c>
      <c r="BC24" s="206">
        <f t="shared" ref="BC24:BC26" si="32">BB24/AY24</f>
        <v>0.04</v>
      </c>
      <c r="BD24" s="44">
        <v>21</v>
      </c>
      <c r="BE24" s="44">
        <v>30</v>
      </c>
      <c r="BF24" s="38"/>
      <c r="BG24" s="109">
        <v>12</v>
      </c>
      <c r="BH24" s="68"/>
      <c r="BI24" s="97"/>
      <c r="BJ24" s="44">
        <v>2</v>
      </c>
      <c r="BK24" s="207">
        <f t="shared" ref="BK24:BK26" si="33">BJ24/BG24</f>
        <v>0.16666666666666666</v>
      </c>
      <c r="BL24" s="162">
        <v>31</v>
      </c>
      <c r="BM24" s="162">
        <v>40</v>
      </c>
      <c r="BN24" s="38"/>
      <c r="BO24" s="181">
        <v>15</v>
      </c>
      <c r="BP24" s="68"/>
      <c r="BQ24" s="41"/>
      <c r="BR24" s="162">
        <v>4</v>
      </c>
      <c r="BS24" s="206">
        <f t="shared" ref="BS24:BS26" si="34">BR24/BO24</f>
        <v>0.26666666666666666</v>
      </c>
      <c r="BT24" s="162">
        <v>41</v>
      </c>
      <c r="BU24" s="162">
        <v>89</v>
      </c>
      <c r="BV24" s="177"/>
      <c r="BW24" s="181">
        <v>19</v>
      </c>
      <c r="BX24" s="68"/>
      <c r="BY24" s="41"/>
      <c r="BZ24" s="162">
        <v>10</v>
      </c>
      <c r="CA24" s="206">
        <f t="shared" ref="CA24:CA26" si="35">BZ24/BW24</f>
        <v>0.52631578947368418</v>
      </c>
      <c r="CB24" s="50"/>
      <c r="CC24" s="50"/>
      <c r="CD24" s="50"/>
      <c r="CE24" s="51"/>
      <c r="CF24" s="53"/>
      <c r="CG24" s="51"/>
      <c r="CH24" s="50"/>
      <c r="CI24" s="52"/>
      <c r="CJ24" s="54"/>
      <c r="CK24" s="54"/>
      <c r="CL24" s="54"/>
      <c r="CM24" s="55"/>
      <c r="CN24" s="54"/>
      <c r="CO24" s="55"/>
      <c r="CP24" s="54"/>
      <c r="CQ24" s="56"/>
      <c r="CR24" s="54"/>
      <c r="CS24" s="54"/>
      <c r="CT24" s="54"/>
      <c r="CU24" s="55"/>
      <c r="CV24" s="54"/>
      <c r="CW24" s="55"/>
      <c r="CX24" s="54"/>
      <c r="CY24" s="56"/>
      <c r="CZ24" s="54"/>
      <c r="DA24" s="54"/>
      <c r="DB24" s="54"/>
      <c r="DC24" s="55"/>
      <c r="DD24" s="54"/>
      <c r="DE24" s="55"/>
      <c r="DF24" s="54"/>
      <c r="DG24" s="56"/>
      <c r="DH24" s="54"/>
      <c r="DI24" s="54"/>
      <c r="DJ24" s="54"/>
      <c r="DK24" s="55"/>
      <c r="DL24" s="54"/>
      <c r="DM24" s="55"/>
      <c r="DN24" s="54"/>
      <c r="DO24" s="56"/>
    </row>
    <row r="25" spans="1:119" ht="97" x14ac:dyDescent="0.2">
      <c r="A25" s="114" t="s">
        <v>262</v>
      </c>
      <c r="B25" s="199" t="s">
        <v>131</v>
      </c>
      <c r="C25" s="208" t="s">
        <v>263</v>
      </c>
      <c r="D25" s="70" t="s">
        <v>224</v>
      </c>
      <c r="E25" s="122">
        <v>2014</v>
      </c>
      <c r="F25" s="122">
        <v>2014</v>
      </c>
      <c r="G25" s="29"/>
      <c r="H25" s="200" t="s">
        <v>225</v>
      </c>
      <c r="I25" s="196" t="s">
        <v>226</v>
      </c>
      <c r="J25" s="209" t="s">
        <v>264</v>
      </c>
      <c r="K25" s="147"/>
      <c r="L25" s="122">
        <v>6</v>
      </c>
      <c r="M25" s="201">
        <v>707</v>
      </c>
      <c r="N25" s="168">
        <v>443</v>
      </c>
      <c r="O25" s="162">
        <v>289</v>
      </c>
      <c r="P25" s="168">
        <v>418</v>
      </c>
      <c r="Q25" s="38"/>
      <c r="R25" s="202">
        <v>40</v>
      </c>
      <c r="S25" s="203"/>
      <c r="T25" s="126"/>
      <c r="U25" s="204">
        <f t="shared" si="30"/>
        <v>9.569377990430622E-2</v>
      </c>
      <c r="V25" s="130" t="s">
        <v>265</v>
      </c>
      <c r="W25" s="131" t="s">
        <v>128</v>
      </c>
      <c r="X25" s="131"/>
      <c r="Y25" s="131" t="s">
        <v>128</v>
      </c>
      <c r="Z25" s="131"/>
      <c r="AA25" s="132" t="s">
        <v>128</v>
      </c>
      <c r="AB25" s="38"/>
      <c r="AC25" s="38"/>
      <c r="AD25" s="210" t="s">
        <v>126</v>
      </c>
      <c r="AE25" s="38"/>
      <c r="AF25" s="38"/>
      <c r="AG25" s="210" t="s">
        <v>128</v>
      </c>
      <c r="AH25" s="210" t="s">
        <v>126</v>
      </c>
      <c r="AI25" s="38"/>
      <c r="AJ25" s="171" t="s">
        <v>213</v>
      </c>
      <c r="AK25" s="134" t="s">
        <v>126</v>
      </c>
      <c r="AL25" s="211" t="s">
        <v>266</v>
      </c>
      <c r="AM25" s="212" t="s">
        <v>189</v>
      </c>
      <c r="AN25" s="122">
        <v>2</v>
      </c>
      <c r="AO25" s="122">
        <v>5</v>
      </c>
      <c r="AP25" s="38"/>
      <c r="AQ25" s="181">
        <v>30</v>
      </c>
      <c r="AR25" s="68"/>
      <c r="AS25" s="97"/>
      <c r="AT25" s="162">
        <v>2</v>
      </c>
      <c r="AU25" s="206">
        <f t="shared" si="31"/>
        <v>6.6666666666666666E-2</v>
      </c>
      <c r="AV25" s="122">
        <v>6</v>
      </c>
      <c r="AW25" s="122">
        <v>15</v>
      </c>
      <c r="AX25" s="38"/>
      <c r="AY25" s="181">
        <v>128</v>
      </c>
      <c r="AZ25" s="68"/>
      <c r="BA25" s="97"/>
      <c r="BB25" s="162">
        <v>11</v>
      </c>
      <c r="BC25" s="206">
        <f t="shared" si="32"/>
        <v>8.59375E-2</v>
      </c>
      <c r="BD25" s="140">
        <v>16</v>
      </c>
      <c r="BE25" s="140">
        <v>25</v>
      </c>
      <c r="BF25" s="38"/>
      <c r="BG25" s="109">
        <v>72</v>
      </c>
      <c r="BH25" s="68"/>
      <c r="BI25" s="97"/>
      <c r="BJ25" s="44">
        <v>7</v>
      </c>
      <c r="BK25" s="207">
        <f t="shared" si="33"/>
        <v>9.7222222222222224E-2</v>
      </c>
      <c r="BL25" s="137">
        <v>26</v>
      </c>
      <c r="BM25" s="122">
        <v>35</v>
      </c>
      <c r="BN25" s="38"/>
      <c r="BO25" s="181">
        <v>55</v>
      </c>
      <c r="BP25" s="68"/>
      <c r="BQ25" s="41"/>
      <c r="BR25" s="162">
        <v>7</v>
      </c>
      <c r="BS25" s="206">
        <f t="shared" si="34"/>
        <v>0.12727272727272726</v>
      </c>
      <c r="BT25" s="122">
        <v>36</v>
      </c>
      <c r="BU25" s="122">
        <v>45</v>
      </c>
      <c r="BV25" s="177"/>
      <c r="BW25" s="181">
        <v>35</v>
      </c>
      <c r="BX25" s="68"/>
      <c r="BY25" s="41"/>
      <c r="BZ25" s="162">
        <v>6</v>
      </c>
      <c r="CA25" s="206">
        <f t="shared" si="35"/>
        <v>0.17142857142857143</v>
      </c>
      <c r="CB25" s="122">
        <v>46</v>
      </c>
      <c r="CC25" s="162">
        <v>89</v>
      </c>
      <c r="CD25" s="177"/>
      <c r="CE25" s="181">
        <v>98</v>
      </c>
      <c r="CF25" s="38"/>
      <c r="CG25" s="41"/>
      <c r="CH25" s="193">
        <v>7</v>
      </c>
      <c r="CI25" s="43">
        <f t="shared" ref="CI25:CI26" si="36">CH25/CE25</f>
        <v>7.1428571428571425E-2</v>
      </c>
      <c r="CJ25" s="50"/>
      <c r="CK25" s="50"/>
      <c r="CL25" s="50"/>
      <c r="CM25" s="51"/>
      <c r="CN25" s="50"/>
      <c r="CO25" s="51"/>
      <c r="CP25" s="50"/>
      <c r="CQ25" s="52"/>
      <c r="CR25" s="50"/>
      <c r="CS25" s="50"/>
      <c r="CT25" s="50"/>
      <c r="CU25" s="51"/>
      <c r="CV25" s="53"/>
      <c r="CW25" s="51"/>
      <c r="CX25" s="50"/>
      <c r="CY25" s="52"/>
      <c r="CZ25" s="54"/>
      <c r="DA25" s="54"/>
      <c r="DB25" s="54"/>
      <c r="DC25" s="55"/>
      <c r="DD25" s="54"/>
      <c r="DE25" s="55"/>
      <c r="DF25" s="54"/>
      <c r="DG25" s="56"/>
      <c r="DH25" s="54"/>
      <c r="DI25" s="54"/>
      <c r="DJ25" s="54"/>
      <c r="DK25" s="55"/>
      <c r="DL25" s="54"/>
      <c r="DM25" s="55"/>
      <c r="DN25" s="54"/>
      <c r="DO25" s="56"/>
    </row>
    <row r="26" spans="1:119" ht="73" x14ac:dyDescent="0.2">
      <c r="A26" s="114" t="s">
        <v>262</v>
      </c>
      <c r="B26" s="199" t="s">
        <v>267</v>
      </c>
      <c r="C26" s="208" t="s">
        <v>263</v>
      </c>
      <c r="D26" s="70" t="s">
        <v>224</v>
      </c>
      <c r="E26" s="122">
        <v>2014</v>
      </c>
      <c r="F26" s="122">
        <v>2014</v>
      </c>
      <c r="G26" s="29"/>
      <c r="H26" s="200" t="s">
        <v>225</v>
      </c>
      <c r="I26" s="196" t="s">
        <v>226</v>
      </c>
      <c r="J26" s="209" t="s">
        <v>264</v>
      </c>
      <c r="K26" s="147"/>
      <c r="L26" s="122">
        <v>6</v>
      </c>
      <c r="M26" s="201"/>
      <c r="N26" s="168"/>
      <c r="O26" s="213"/>
      <c r="P26" s="168">
        <v>23</v>
      </c>
      <c r="Q26" s="38"/>
      <c r="R26" s="202">
        <v>22</v>
      </c>
      <c r="S26" s="203"/>
      <c r="T26" s="126"/>
      <c r="U26" s="204">
        <f t="shared" si="30"/>
        <v>0.95652173913043481</v>
      </c>
      <c r="V26" s="130" t="s">
        <v>268</v>
      </c>
      <c r="W26" s="131" t="s">
        <v>128</v>
      </c>
      <c r="X26" s="131"/>
      <c r="Y26" s="131" t="s">
        <v>126</v>
      </c>
      <c r="Z26" s="131"/>
      <c r="AA26" s="131" t="s">
        <v>128</v>
      </c>
      <c r="AB26" s="38"/>
      <c r="AC26" s="38"/>
      <c r="AD26" s="154" t="s">
        <v>126</v>
      </c>
      <c r="AE26" s="38"/>
      <c r="AF26" s="38"/>
      <c r="AG26" s="210" t="s">
        <v>128</v>
      </c>
      <c r="AH26" s="210" t="s">
        <v>126</v>
      </c>
      <c r="AI26" s="38"/>
      <c r="AJ26" s="171" t="s">
        <v>213</v>
      </c>
      <c r="AK26" s="134" t="s">
        <v>126</v>
      </c>
      <c r="AL26" s="211" t="s">
        <v>269</v>
      </c>
      <c r="AM26" s="212" t="s">
        <v>189</v>
      </c>
      <c r="AN26" s="162">
        <v>2</v>
      </c>
      <c r="AO26" s="162">
        <v>5</v>
      </c>
      <c r="AP26" s="38"/>
      <c r="AQ26" s="181">
        <v>1</v>
      </c>
      <c r="AR26" s="38"/>
      <c r="AS26" s="97"/>
      <c r="AT26" s="162">
        <v>1</v>
      </c>
      <c r="AU26" s="206">
        <f t="shared" si="31"/>
        <v>1</v>
      </c>
      <c r="AV26" s="122">
        <v>6</v>
      </c>
      <c r="AW26" s="122">
        <v>15</v>
      </c>
      <c r="AX26" s="38"/>
      <c r="AY26" s="181">
        <v>8</v>
      </c>
      <c r="AZ26" s="38"/>
      <c r="BA26" s="97"/>
      <c r="BB26" s="162">
        <v>8</v>
      </c>
      <c r="BC26" s="206">
        <f t="shared" si="32"/>
        <v>1</v>
      </c>
      <c r="BD26" s="44">
        <v>16</v>
      </c>
      <c r="BE26" s="44">
        <v>25</v>
      </c>
      <c r="BF26" s="38"/>
      <c r="BG26" s="109">
        <v>4</v>
      </c>
      <c r="BH26" s="38"/>
      <c r="BI26" s="97"/>
      <c r="BJ26" s="44">
        <v>4</v>
      </c>
      <c r="BK26" s="207">
        <f t="shared" si="33"/>
        <v>1</v>
      </c>
      <c r="BL26" s="137">
        <v>26</v>
      </c>
      <c r="BM26" s="122">
        <v>35</v>
      </c>
      <c r="BN26" s="38"/>
      <c r="BO26" s="181">
        <v>1</v>
      </c>
      <c r="BP26" s="38"/>
      <c r="BQ26" s="41"/>
      <c r="BR26" s="162">
        <v>1</v>
      </c>
      <c r="BS26" s="206">
        <f t="shared" si="34"/>
        <v>1</v>
      </c>
      <c r="BT26" s="122">
        <v>36</v>
      </c>
      <c r="BU26" s="122">
        <v>45</v>
      </c>
      <c r="BV26" s="177"/>
      <c r="BW26" s="181">
        <v>5</v>
      </c>
      <c r="BX26" s="38"/>
      <c r="BY26" s="41"/>
      <c r="BZ26" s="162">
        <v>4</v>
      </c>
      <c r="CA26" s="206">
        <f t="shared" si="35"/>
        <v>0.8</v>
      </c>
      <c r="CB26" s="122">
        <v>46</v>
      </c>
      <c r="CC26" s="162">
        <v>89</v>
      </c>
      <c r="CD26" s="177"/>
      <c r="CE26" s="181">
        <v>4</v>
      </c>
      <c r="CF26" s="38"/>
      <c r="CG26" s="41"/>
      <c r="CH26" s="193">
        <v>4</v>
      </c>
      <c r="CI26" s="43">
        <f t="shared" si="36"/>
        <v>1</v>
      </c>
      <c r="CJ26" s="50"/>
      <c r="CK26" s="50"/>
      <c r="CL26" s="50"/>
      <c r="CM26" s="51"/>
      <c r="CN26" s="50"/>
      <c r="CO26" s="51"/>
      <c r="CP26" s="50"/>
      <c r="CQ26" s="52"/>
      <c r="CR26" s="50"/>
      <c r="CS26" s="50"/>
      <c r="CT26" s="50"/>
      <c r="CU26" s="51"/>
      <c r="CV26" s="53"/>
      <c r="CW26" s="51"/>
      <c r="CX26" s="50"/>
      <c r="CY26" s="52"/>
      <c r="CZ26" s="54"/>
      <c r="DA26" s="54"/>
      <c r="DB26" s="54"/>
      <c r="DC26" s="55"/>
      <c r="DD26" s="54"/>
      <c r="DE26" s="55"/>
      <c r="DF26" s="54"/>
      <c r="DG26" s="56"/>
      <c r="DH26" s="54"/>
      <c r="DI26" s="54"/>
      <c r="DJ26" s="54"/>
      <c r="DK26" s="55"/>
      <c r="DL26" s="54"/>
      <c r="DM26" s="55"/>
      <c r="DN26" s="54"/>
      <c r="DO26" s="56"/>
    </row>
    <row r="27" spans="1:119" ht="73" x14ac:dyDescent="0.2">
      <c r="A27" s="198" t="s">
        <v>270</v>
      </c>
      <c r="B27" s="199" t="s">
        <v>215</v>
      </c>
      <c r="C27" s="195" t="s">
        <v>271</v>
      </c>
      <c r="D27" s="214" t="s">
        <v>272</v>
      </c>
      <c r="E27" s="162">
        <v>2000</v>
      </c>
      <c r="F27" s="162">
        <v>2001</v>
      </c>
      <c r="G27" s="29"/>
      <c r="H27" s="200" t="s">
        <v>143</v>
      </c>
      <c r="I27" s="196" t="s">
        <v>273</v>
      </c>
      <c r="J27" s="197" t="s">
        <v>274</v>
      </c>
      <c r="K27" s="121" t="s">
        <v>275</v>
      </c>
      <c r="L27" s="162">
        <v>4</v>
      </c>
      <c r="M27" s="201"/>
      <c r="N27" s="168">
        <v>168</v>
      </c>
      <c r="O27" s="162">
        <v>39</v>
      </c>
      <c r="P27" s="168">
        <f>43+29+40+17</f>
        <v>129</v>
      </c>
      <c r="Q27" s="38"/>
      <c r="R27" s="38"/>
      <c r="S27" s="203"/>
      <c r="T27" s="126"/>
      <c r="U27" s="215">
        <v>0.44</v>
      </c>
      <c r="V27" s="130" t="s">
        <v>276</v>
      </c>
      <c r="W27" s="131" t="s">
        <v>126</v>
      </c>
      <c r="X27" s="131"/>
      <c r="Y27" s="131" t="s">
        <v>126</v>
      </c>
      <c r="Z27" s="131"/>
      <c r="AA27" s="131" t="s">
        <v>128</v>
      </c>
      <c r="AB27" s="38"/>
      <c r="AC27" s="38"/>
      <c r="AD27" s="154" t="s">
        <v>128</v>
      </c>
      <c r="AE27" s="38"/>
      <c r="AF27" s="38"/>
      <c r="AG27" s="154" t="s">
        <v>128</v>
      </c>
      <c r="AH27" s="154" t="s">
        <v>126</v>
      </c>
      <c r="AI27" s="38"/>
      <c r="AJ27" s="171" t="s">
        <v>254</v>
      </c>
      <c r="AK27" s="205" t="s">
        <v>128</v>
      </c>
      <c r="AL27" s="38"/>
      <c r="AM27" s="41"/>
      <c r="AN27" s="162">
        <v>1</v>
      </c>
      <c r="AO27" s="162">
        <v>10</v>
      </c>
      <c r="AP27" s="38"/>
      <c r="AQ27" s="181">
        <v>43</v>
      </c>
      <c r="AR27" s="38"/>
      <c r="AS27" s="97"/>
      <c r="AT27" s="38"/>
      <c r="AU27" s="182">
        <v>0.39500000000000002</v>
      </c>
      <c r="AV27" s="162">
        <v>11</v>
      </c>
      <c r="AW27" s="162">
        <v>25</v>
      </c>
      <c r="AX27" s="38"/>
      <c r="AY27" s="181">
        <v>29</v>
      </c>
      <c r="AZ27" s="38"/>
      <c r="BA27" s="97"/>
      <c r="BB27" s="38"/>
      <c r="BC27" s="182">
        <v>0.48299999999999998</v>
      </c>
      <c r="BD27" s="44">
        <v>26</v>
      </c>
      <c r="BE27" s="44">
        <v>40</v>
      </c>
      <c r="BF27" s="38"/>
      <c r="BG27" s="109">
        <v>40</v>
      </c>
      <c r="BH27" s="38"/>
      <c r="BI27" s="97"/>
      <c r="BJ27" s="38"/>
      <c r="BK27" s="216">
        <v>0.5</v>
      </c>
      <c r="BL27" s="139">
        <v>40</v>
      </c>
      <c r="BM27" s="162">
        <v>89</v>
      </c>
      <c r="BN27" s="38"/>
      <c r="BO27" s="181">
        <v>17</v>
      </c>
      <c r="BP27" s="38"/>
      <c r="BQ27" s="41"/>
      <c r="BR27" s="38"/>
      <c r="BS27" s="182">
        <v>0.41199999999999998</v>
      </c>
      <c r="BT27" s="50"/>
      <c r="BU27" s="50"/>
      <c r="BV27" s="50"/>
      <c r="BW27" s="51"/>
      <c r="BX27" s="50"/>
      <c r="BY27" s="50"/>
      <c r="BZ27" s="49"/>
      <c r="CA27" s="52"/>
      <c r="CB27" s="50"/>
      <c r="CC27" s="50"/>
      <c r="CD27" s="50"/>
      <c r="CE27" s="51"/>
      <c r="CF27" s="50"/>
      <c r="CG27" s="51"/>
      <c r="CH27" s="50"/>
      <c r="CI27" s="52"/>
      <c r="CJ27" s="50"/>
      <c r="CK27" s="50"/>
      <c r="CL27" s="50"/>
      <c r="CM27" s="51"/>
      <c r="CN27" s="53"/>
      <c r="CO27" s="51"/>
      <c r="CP27" s="50"/>
      <c r="CQ27" s="52"/>
      <c r="CR27" s="54"/>
      <c r="CS27" s="54"/>
      <c r="CT27" s="54"/>
      <c r="CU27" s="55"/>
      <c r="CV27" s="54"/>
      <c r="CW27" s="55"/>
      <c r="CX27" s="54"/>
      <c r="CY27" s="56"/>
      <c r="CZ27" s="54"/>
      <c r="DA27" s="54"/>
      <c r="DB27" s="54"/>
      <c r="DC27" s="55"/>
      <c r="DD27" s="54"/>
      <c r="DE27" s="55"/>
      <c r="DF27" s="54"/>
      <c r="DG27" s="56"/>
      <c r="DH27" s="54"/>
      <c r="DI27" s="54"/>
      <c r="DJ27" s="54"/>
      <c r="DK27" s="55"/>
      <c r="DL27" s="54"/>
      <c r="DM27" s="55"/>
      <c r="DN27" s="54"/>
      <c r="DO27" s="56"/>
    </row>
    <row r="28" spans="1:119" ht="61" x14ac:dyDescent="0.2">
      <c r="A28" s="198" t="s">
        <v>270</v>
      </c>
      <c r="B28" s="199" t="s">
        <v>160</v>
      </c>
      <c r="C28" s="195" t="s">
        <v>271</v>
      </c>
      <c r="D28" s="214" t="s">
        <v>272</v>
      </c>
      <c r="E28" s="162">
        <v>2000</v>
      </c>
      <c r="F28" s="162">
        <v>2001</v>
      </c>
      <c r="G28" s="29"/>
      <c r="H28" s="200" t="s">
        <v>143</v>
      </c>
      <c r="I28" s="196" t="s">
        <v>273</v>
      </c>
      <c r="J28" s="197" t="s">
        <v>274</v>
      </c>
      <c r="K28" s="121" t="s">
        <v>275</v>
      </c>
      <c r="L28" s="162">
        <v>4</v>
      </c>
      <c r="M28" s="201"/>
      <c r="N28" s="168">
        <v>168</v>
      </c>
      <c r="O28" s="162">
        <v>70</v>
      </c>
      <c r="P28" s="168">
        <f>36+18+33+11</f>
        <v>98</v>
      </c>
      <c r="Q28" s="38"/>
      <c r="R28" s="38"/>
      <c r="S28" s="203"/>
      <c r="T28" s="126"/>
      <c r="U28" s="217">
        <v>0.44400000000000001</v>
      </c>
      <c r="V28" s="130" t="s">
        <v>277</v>
      </c>
      <c r="W28" s="131" t="s">
        <v>126</v>
      </c>
      <c r="X28" s="131"/>
      <c r="Y28" s="131" t="s">
        <v>126</v>
      </c>
      <c r="Z28" s="131"/>
      <c r="AA28" s="131" t="s">
        <v>128</v>
      </c>
      <c r="AB28" s="38"/>
      <c r="AC28" s="38"/>
      <c r="AD28" s="154" t="s">
        <v>128</v>
      </c>
      <c r="AE28" s="38"/>
      <c r="AF28" s="38"/>
      <c r="AG28" s="154" t="s">
        <v>126</v>
      </c>
      <c r="AH28" s="154" t="s">
        <v>128</v>
      </c>
      <c r="AI28" s="38"/>
      <c r="AJ28" s="38"/>
      <c r="AK28" s="205" t="s">
        <v>128</v>
      </c>
      <c r="AL28" s="38"/>
      <c r="AM28" s="41"/>
      <c r="AN28" s="162">
        <v>1</v>
      </c>
      <c r="AO28" s="162">
        <v>10</v>
      </c>
      <c r="AP28" s="38"/>
      <c r="AQ28" s="181">
        <v>36</v>
      </c>
      <c r="AR28" s="38"/>
      <c r="AS28" s="97"/>
      <c r="AT28" s="38"/>
      <c r="AU28" s="182">
        <v>0.19400000000000001</v>
      </c>
      <c r="AV28" s="162">
        <v>11</v>
      </c>
      <c r="AW28" s="162">
        <v>25</v>
      </c>
      <c r="AX28" s="38"/>
      <c r="AY28" s="181">
        <v>18</v>
      </c>
      <c r="AZ28" s="38"/>
      <c r="BA28" s="97"/>
      <c r="BB28" s="38"/>
      <c r="BC28" s="182">
        <v>0.61099999999999999</v>
      </c>
      <c r="BD28" s="44">
        <v>26</v>
      </c>
      <c r="BE28" s="44">
        <v>40</v>
      </c>
      <c r="BF28" s="38"/>
      <c r="BG28" s="109">
        <v>33</v>
      </c>
      <c r="BH28" s="38"/>
      <c r="BI28" s="97"/>
      <c r="BJ28" s="38"/>
      <c r="BK28" s="216">
        <v>0.66700000000000004</v>
      </c>
      <c r="BL28" s="139">
        <v>40</v>
      </c>
      <c r="BM28" s="162">
        <v>89</v>
      </c>
      <c r="BN28" s="38"/>
      <c r="BO28" s="181">
        <v>11</v>
      </c>
      <c r="BP28" s="38"/>
      <c r="BQ28" s="41"/>
      <c r="BR28" s="38"/>
      <c r="BS28" s="182">
        <v>0.36399999999999999</v>
      </c>
      <c r="BT28" s="50"/>
      <c r="BU28" s="50"/>
      <c r="BV28" s="50"/>
      <c r="BW28" s="51"/>
      <c r="BX28" s="50"/>
      <c r="BY28" s="50"/>
      <c r="BZ28" s="49"/>
      <c r="CA28" s="52"/>
      <c r="CB28" s="50"/>
      <c r="CC28" s="50"/>
      <c r="CD28" s="50"/>
      <c r="CE28" s="51"/>
      <c r="CF28" s="50"/>
      <c r="CG28" s="51"/>
      <c r="CH28" s="50"/>
      <c r="CI28" s="52"/>
      <c r="CJ28" s="50"/>
      <c r="CK28" s="50"/>
      <c r="CL28" s="50"/>
      <c r="CM28" s="51"/>
      <c r="CN28" s="53"/>
      <c r="CO28" s="51"/>
      <c r="CP28" s="50"/>
      <c r="CQ28" s="52"/>
      <c r="CR28" s="54"/>
      <c r="CS28" s="54"/>
      <c r="CT28" s="54"/>
      <c r="CU28" s="55"/>
      <c r="CV28" s="54"/>
      <c r="CW28" s="55"/>
      <c r="CX28" s="54"/>
      <c r="CY28" s="56"/>
      <c r="CZ28" s="54"/>
      <c r="DA28" s="54"/>
      <c r="DB28" s="54"/>
      <c r="DC28" s="55"/>
      <c r="DD28" s="54"/>
      <c r="DE28" s="55"/>
      <c r="DF28" s="54"/>
      <c r="DG28" s="56"/>
      <c r="DH28" s="54"/>
      <c r="DI28" s="54"/>
      <c r="DJ28" s="54"/>
      <c r="DK28" s="55"/>
      <c r="DL28" s="54"/>
      <c r="DM28" s="55"/>
      <c r="DN28" s="54"/>
      <c r="DO28" s="56"/>
    </row>
    <row r="29" spans="1:119" ht="85" x14ac:dyDescent="0.2">
      <c r="A29" s="114" t="s">
        <v>278</v>
      </c>
      <c r="B29" s="165" t="s">
        <v>141</v>
      </c>
      <c r="C29" s="145" t="s">
        <v>279</v>
      </c>
      <c r="D29" s="119" t="s">
        <v>280</v>
      </c>
      <c r="E29" s="146">
        <v>39022</v>
      </c>
      <c r="F29" s="146">
        <v>39934</v>
      </c>
      <c r="G29" s="96">
        <v>2.5</v>
      </c>
      <c r="H29" s="134" t="s">
        <v>281</v>
      </c>
      <c r="I29" s="121" t="s">
        <v>282</v>
      </c>
      <c r="J29" s="61" t="s">
        <v>283</v>
      </c>
      <c r="K29" s="147"/>
      <c r="L29" s="122">
        <v>20</v>
      </c>
      <c r="M29" s="32"/>
      <c r="N29" s="123">
        <v>17610</v>
      </c>
      <c r="O29" s="218">
        <v>10072</v>
      </c>
      <c r="P29" s="123">
        <v>7538</v>
      </c>
      <c r="Q29" s="123">
        <v>95</v>
      </c>
      <c r="R29" s="123">
        <v>510</v>
      </c>
      <c r="S29" s="219">
        <v>2.5</v>
      </c>
      <c r="T29" s="220">
        <f>Q29/N29/S29*1000</f>
        <v>2.1578648495173196</v>
      </c>
      <c r="U29" s="204">
        <f t="shared" ref="U29:U30" si="37">R29/P29</f>
        <v>6.7657203502255236E-2</v>
      </c>
      <c r="V29" s="130" t="s">
        <v>284</v>
      </c>
      <c r="W29" s="131" t="s">
        <v>128</v>
      </c>
      <c r="X29" s="131"/>
      <c r="Y29" s="131" t="s">
        <v>128</v>
      </c>
      <c r="Z29" s="131"/>
      <c r="AA29" s="132" t="s">
        <v>128</v>
      </c>
      <c r="AB29" s="38"/>
      <c r="AC29" s="38"/>
      <c r="AD29" s="132" t="s">
        <v>126</v>
      </c>
      <c r="AE29" s="38"/>
      <c r="AF29" s="38"/>
      <c r="AG29" s="132" t="s">
        <v>128</v>
      </c>
      <c r="AH29" s="132" t="s">
        <v>126</v>
      </c>
      <c r="AI29" s="171" t="s">
        <v>254</v>
      </c>
      <c r="AJ29" s="38"/>
      <c r="AK29" s="134" t="s">
        <v>128</v>
      </c>
      <c r="AL29" s="40" t="s">
        <v>285</v>
      </c>
      <c r="AM29" s="221" t="s">
        <v>286</v>
      </c>
      <c r="AN29" s="122">
        <v>0</v>
      </c>
      <c r="AO29" s="122">
        <v>6</v>
      </c>
      <c r="AP29" s="136">
        <f>1397+86+21</f>
        <v>1504</v>
      </c>
      <c r="AQ29" s="158"/>
      <c r="AR29" s="162">
        <v>21</v>
      </c>
      <c r="AS29" s="159">
        <f>AR29/AP29/S29*1000</f>
        <v>5.5851063829787231</v>
      </c>
      <c r="AT29" s="68"/>
      <c r="AU29" s="74"/>
      <c r="AV29" s="122">
        <v>7</v>
      </c>
      <c r="AW29" s="122">
        <v>13</v>
      </c>
      <c r="AX29" s="136">
        <f>1750+97+22</f>
        <v>1869</v>
      </c>
      <c r="AY29" s="158"/>
      <c r="AZ29" s="218">
        <v>22</v>
      </c>
      <c r="BA29" s="159">
        <f>AZ29/AX29/S29*1000</f>
        <v>4.7084002140181918</v>
      </c>
      <c r="BB29" s="68"/>
      <c r="BC29" s="74"/>
      <c r="BD29" s="122">
        <v>14</v>
      </c>
      <c r="BE29" s="122">
        <v>24</v>
      </c>
      <c r="BF29" s="136">
        <f>879+83+19</f>
        <v>981</v>
      </c>
      <c r="BG29" s="158"/>
      <c r="BH29" s="218">
        <v>19</v>
      </c>
      <c r="BI29" s="159">
        <f>BH29/BF29/S29*1000</f>
        <v>7.747196738022426</v>
      </c>
      <c r="BJ29" s="68"/>
      <c r="BK29" s="74"/>
      <c r="BL29" s="137">
        <v>25</v>
      </c>
      <c r="BM29" s="122">
        <v>39</v>
      </c>
      <c r="BN29" s="136">
        <f>1265+98+15</f>
        <v>1378</v>
      </c>
      <c r="BO29" s="158"/>
      <c r="BP29" s="162">
        <v>15</v>
      </c>
      <c r="BQ29" s="128">
        <f>BP29/BN29/S29*1000</f>
        <v>4.3541364296081273</v>
      </c>
      <c r="BR29" s="68"/>
      <c r="BS29" s="74"/>
      <c r="BT29" s="122">
        <v>40</v>
      </c>
      <c r="BU29" s="213">
        <v>89</v>
      </c>
      <c r="BV29" s="136">
        <f>1642+146+18</f>
        <v>1806</v>
      </c>
      <c r="BW29" s="158"/>
      <c r="BX29" s="122">
        <v>18</v>
      </c>
      <c r="BY29" s="128">
        <f>BX29/BV29/S29*1000</f>
        <v>3.986710963455149</v>
      </c>
      <c r="BZ29" s="68"/>
      <c r="CA29" s="74"/>
      <c r="CB29" s="50"/>
      <c r="CC29" s="50"/>
      <c r="CD29" s="50"/>
      <c r="CE29" s="51"/>
      <c r="CF29" s="50"/>
      <c r="CG29" s="50"/>
      <c r="CH29" s="49"/>
      <c r="CI29" s="52"/>
      <c r="CJ29" s="50"/>
      <c r="CK29" s="50"/>
      <c r="CL29" s="50"/>
      <c r="CM29" s="51"/>
      <c r="CN29" s="50"/>
      <c r="CO29" s="51"/>
      <c r="CP29" s="50"/>
      <c r="CQ29" s="52"/>
      <c r="CR29" s="50"/>
      <c r="CS29" s="50"/>
      <c r="CT29" s="50"/>
      <c r="CU29" s="51"/>
      <c r="CV29" s="53"/>
      <c r="CW29" s="51"/>
      <c r="CX29" s="50"/>
      <c r="CY29" s="52"/>
      <c r="CZ29" s="54"/>
      <c r="DA29" s="54"/>
      <c r="DB29" s="54"/>
      <c r="DC29" s="55"/>
      <c r="DD29" s="54"/>
      <c r="DE29" s="55"/>
      <c r="DF29" s="54"/>
      <c r="DG29" s="56"/>
      <c r="DH29" s="54"/>
      <c r="DI29" s="54"/>
      <c r="DJ29" s="54"/>
      <c r="DK29" s="55"/>
      <c r="DL29" s="54"/>
      <c r="DM29" s="55"/>
      <c r="DN29" s="54"/>
      <c r="DO29" s="56"/>
    </row>
    <row r="30" spans="1:119" ht="61" x14ac:dyDescent="0.2">
      <c r="A30" s="26" t="s">
        <v>287</v>
      </c>
      <c r="B30" s="57" t="s">
        <v>131</v>
      </c>
      <c r="C30" s="186" t="s">
        <v>288</v>
      </c>
      <c r="D30" s="70" t="s">
        <v>280</v>
      </c>
      <c r="E30" s="44">
        <v>2006</v>
      </c>
      <c r="F30" s="44">
        <v>2006</v>
      </c>
      <c r="G30" s="29"/>
      <c r="H30" s="30" t="s">
        <v>225</v>
      </c>
      <c r="I30" s="61" t="s">
        <v>289</v>
      </c>
      <c r="J30" s="61" t="s">
        <v>290</v>
      </c>
      <c r="K30" s="62"/>
      <c r="L30" s="30">
        <v>10</v>
      </c>
      <c r="M30" s="222">
        <v>6985</v>
      </c>
      <c r="N30" s="222">
        <v>6694</v>
      </c>
      <c r="O30" s="63">
        <v>1588</v>
      </c>
      <c r="P30" s="64">
        <v>5397</v>
      </c>
      <c r="Q30" s="34"/>
      <c r="R30" s="64">
        <v>489</v>
      </c>
      <c r="S30" s="113"/>
      <c r="T30" s="34"/>
      <c r="U30" s="103">
        <f t="shared" si="37"/>
        <v>9.0605892162312393E-2</v>
      </c>
      <c r="V30" s="36" t="s">
        <v>291</v>
      </c>
      <c r="W30" s="37" t="s">
        <v>128</v>
      </c>
      <c r="X30" s="37"/>
      <c r="Y30" s="37" t="s">
        <v>126</v>
      </c>
      <c r="Z30" s="37" t="s">
        <v>292</v>
      </c>
      <c r="AA30" s="37" t="s">
        <v>128</v>
      </c>
      <c r="AB30" s="38"/>
      <c r="AC30" s="38"/>
      <c r="AD30" s="65" t="s">
        <v>128</v>
      </c>
      <c r="AE30" s="38"/>
      <c r="AF30" s="38"/>
      <c r="AG30" s="65" t="s">
        <v>128</v>
      </c>
      <c r="AH30" s="65" t="s">
        <v>126</v>
      </c>
      <c r="AI30" s="38"/>
      <c r="AJ30" s="37" t="s">
        <v>213</v>
      </c>
      <c r="AK30" s="66" t="s">
        <v>128</v>
      </c>
      <c r="AL30" s="40" t="s">
        <v>293</v>
      </c>
      <c r="AM30" s="67" t="s">
        <v>189</v>
      </c>
      <c r="AN30" s="30">
        <v>2</v>
      </c>
      <c r="AO30" s="30">
        <v>6</v>
      </c>
      <c r="AP30" s="38"/>
      <c r="AQ30" s="42">
        <v>677</v>
      </c>
      <c r="AR30" s="38"/>
      <c r="AS30" s="97"/>
      <c r="AT30" s="38"/>
      <c r="AU30" s="99">
        <v>2.7E-2</v>
      </c>
      <c r="AV30" s="44">
        <v>7</v>
      </c>
      <c r="AW30" s="44">
        <v>13</v>
      </c>
      <c r="AX30" s="38"/>
      <c r="AY30" s="109">
        <v>1157</v>
      </c>
      <c r="AZ30" s="38"/>
      <c r="BA30" s="97"/>
      <c r="BB30" s="38"/>
      <c r="BC30" s="99">
        <v>7.4999999999999997E-2</v>
      </c>
      <c r="BD30" s="30">
        <v>14</v>
      </c>
      <c r="BE30" s="30">
        <v>24</v>
      </c>
      <c r="BF30" s="38"/>
      <c r="BG30" s="42">
        <v>1109</v>
      </c>
      <c r="BH30" s="38"/>
      <c r="BI30" s="97"/>
      <c r="BJ30" s="38"/>
      <c r="BK30" s="99">
        <v>7.8E-2</v>
      </c>
      <c r="BL30" s="45">
        <v>25</v>
      </c>
      <c r="BM30" s="30">
        <v>39</v>
      </c>
      <c r="BN30" s="38"/>
      <c r="BO30" s="42">
        <v>1166</v>
      </c>
      <c r="BP30" s="38"/>
      <c r="BQ30" s="41"/>
      <c r="BR30" s="38"/>
      <c r="BS30" s="99">
        <v>0.108</v>
      </c>
      <c r="BT30" s="30">
        <v>40</v>
      </c>
      <c r="BU30" s="44">
        <v>89</v>
      </c>
      <c r="BV30" s="177"/>
      <c r="BW30" s="42">
        <v>1288</v>
      </c>
      <c r="BX30" s="38"/>
      <c r="BY30" s="41"/>
      <c r="BZ30" s="38"/>
      <c r="CA30" s="99">
        <v>0.13300000000000001</v>
      </c>
      <c r="CB30" s="50"/>
      <c r="CC30" s="50"/>
      <c r="CD30" s="50"/>
      <c r="CE30" s="51"/>
      <c r="CF30" s="50"/>
      <c r="CG30" s="51"/>
      <c r="CH30" s="50"/>
      <c r="CI30" s="52"/>
      <c r="CJ30" s="50"/>
      <c r="CK30" s="50"/>
      <c r="CL30" s="50"/>
      <c r="CM30" s="51"/>
      <c r="CN30" s="50"/>
      <c r="CO30" s="51"/>
      <c r="CP30" s="50"/>
      <c r="CQ30" s="52"/>
      <c r="CR30" s="50"/>
      <c r="CS30" s="50"/>
      <c r="CT30" s="50"/>
      <c r="CU30" s="51"/>
      <c r="CV30" s="53"/>
      <c r="CW30" s="51"/>
      <c r="CX30" s="50"/>
      <c r="CY30" s="52"/>
      <c r="CZ30" s="54"/>
      <c r="DA30" s="54"/>
      <c r="DB30" s="54"/>
      <c r="DC30" s="55"/>
      <c r="DD30" s="54"/>
      <c r="DE30" s="55"/>
      <c r="DF30" s="54"/>
      <c r="DG30" s="56"/>
      <c r="DH30" s="54"/>
      <c r="DI30" s="54"/>
      <c r="DJ30" s="54"/>
      <c r="DK30" s="55"/>
      <c r="DL30" s="54"/>
      <c r="DM30" s="55"/>
      <c r="DN30" s="54"/>
      <c r="DO30" s="56"/>
    </row>
    <row r="31" spans="1:119" ht="121" x14ac:dyDescent="0.2">
      <c r="A31" s="26" t="s">
        <v>294</v>
      </c>
      <c r="B31" s="57" t="s">
        <v>295</v>
      </c>
      <c r="C31" s="78" t="s">
        <v>296</v>
      </c>
      <c r="D31" s="213" t="s">
        <v>258</v>
      </c>
      <c r="E31" s="223">
        <v>38200</v>
      </c>
      <c r="F31" s="223">
        <v>38534</v>
      </c>
      <c r="G31" s="70">
        <v>1</v>
      </c>
      <c r="H31" s="30" t="s">
        <v>143</v>
      </c>
      <c r="I31" s="30" t="s">
        <v>238</v>
      </c>
      <c r="J31" s="61" t="s">
        <v>297</v>
      </c>
      <c r="K31" s="62" t="s">
        <v>298</v>
      </c>
      <c r="L31" s="30">
        <v>1</v>
      </c>
      <c r="M31" s="32"/>
      <c r="N31" s="63">
        <v>787</v>
      </c>
      <c r="O31" s="224">
        <f>N31-P31</f>
        <v>36</v>
      </c>
      <c r="P31" s="64">
        <v>751</v>
      </c>
      <c r="Q31" s="32"/>
      <c r="R31" s="64">
        <v>150</v>
      </c>
      <c r="S31" s="113"/>
      <c r="T31" s="34"/>
      <c r="U31" s="34"/>
      <c r="V31" s="36" t="s">
        <v>299</v>
      </c>
      <c r="W31" s="37" t="s">
        <v>126</v>
      </c>
      <c r="X31" s="37"/>
      <c r="Y31" s="37" t="s">
        <v>126</v>
      </c>
      <c r="Z31" s="37"/>
      <c r="AA31" s="37" t="s">
        <v>128</v>
      </c>
      <c r="AB31" s="38"/>
      <c r="AC31" s="38"/>
      <c r="AD31" s="65" t="s">
        <v>128</v>
      </c>
      <c r="AE31" s="38"/>
      <c r="AF31" s="38"/>
      <c r="AG31" s="65" t="s">
        <v>128</v>
      </c>
      <c r="AH31" s="65" t="s">
        <v>126</v>
      </c>
      <c r="AI31" s="38"/>
      <c r="AJ31" s="37" t="s">
        <v>213</v>
      </c>
      <c r="AK31" s="66" t="s">
        <v>128</v>
      </c>
      <c r="AL31" s="225"/>
      <c r="AM31" s="67" t="s">
        <v>300</v>
      </c>
      <c r="AN31" s="30">
        <v>0</v>
      </c>
      <c r="AO31" s="226">
        <v>1</v>
      </c>
      <c r="AP31" s="38"/>
      <c r="AQ31" s="42">
        <f>15</f>
        <v>15</v>
      </c>
      <c r="AR31" s="38"/>
      <c r="AS31" s="97"/>
      <c r="AT31" s="30">
        <f>5</f>
        <v>5</v>
      </c>
      <c r="AU31" s="74"/>
      <c r="AV31" s="44">
        <v>1</v>
      </c>
      <c r="AW31" s="44">
        <v>4</v>
      </c>
      <c r="AX31" s="38"/>
      <c r="AY31" s="109">
        <f>82</f>
        <v>82</v>
      </c>
      <c r="AZ31" s="38"/>
      <c r="BA31" s="97"/>
      <c r="BB31" s="30">
        <v>14</v>
      </c>
      <c r="BC31" s="74"/>
      <c r="BD31" s="30">
        <v>5</v>
      </c>
      <c r="BE31" s="30">
        <v>14</v>
      </c>
      <c r="BF31" s="38"/>
      <c r="BG31" s="42">
        <v>217</v>
      </c>
      <c r="BH31" s="38"/>
      <c r="BI31" s="97"/>
      <c r="BJ31" s="30">
        <v>52</v>
      </c>
      <c r="BK31" s="74"/>
      <c r="BL31" s="45">
        <v>15</v>
      </c>
      <c r="BM31" s="30">
        <v>44</v>
      </c>
      <c r="BN31" s="38"/>
      <c r="BO31" s="42">
        <v>328</v>
      </c>
      <c r="BP31" s="38"/>
      <c r="BQ31" s="41"/>
      <c r="BR31" s="30">
        <v>56</v>
      </c>
      <c r="BS31" s="41"/>
      <c r="BT31" s="30">
        <v>45</v>
      </c>
      <c r="BU31" s="30">
        <v>60</v>
      </c>
      <c r="BV31" s="38"/>
      <c r="BW31" s="42">
        <v>76</v>
      </c>
      <c r="BX31" s="38"/>
      <c r="BY31" s="41"/>
      <c r="BZ31" s="30">
        <v>19</v>
      </c>
      <c r="CA31" s="184"/>
      <c r="CB31" s="44">
        <v>61</v>
      </c>
      <c r="CC31" s="44">
        <v>89</v>
      </c>
      <c r="CD31" s="177"/>
      <c r="CE31" s="42">
        <v>33</v>
      </c>
      <c r="CF31" s="177"/>
      <c r="CG31" s="184"/>
      <c r="CH31" s="30">
        <v>4</v>
      </c>
      <c r="CI31" s="184"/>
      <c r="CJ31" s="50"/>
      <c r="CK31" s="50"/>
      <c r="CL31" s="50"/>
      <c r="CM31" s="51"/>
      <c r="CN31" s="50"/>
      <c r="CO31" s="51"/>
      <c r="CP31" s="50"/>
      <c r="CQ31" s="52"/>
      <c r="CR31" s="50"/>
      <c r="CS31" s="50"/>
      <c r="CT31" s="50"/>
      <c r="CU31" s="51"/>
      <c r="CV31" s="53"/>
      <c r="CW31" s="51"/>
      <c r="CX31" s="50"/>
      <c r="CY31" s="52"/>
      <c r="CZ31" s="54"/>
      <c r="DA31" s="54"/>
      <c r="DB31" s="54"/>
      <c r="DC31" s="55"/>
      <c r="DD31" s="54"/>
      <c r="DE31" s="55"/>
      <c r="DF31" s="54"/>
      <c r="DG31" s="56"/>
      <c r="DH31" s="54"/>
      <c r="DI31" s="54"/>
      <c r="DJ31" s="54"/>
      <c r="DK31" s="55"/>
      <c r="DL31" s="54"/>
      <c r="DM31" s="55"/>
      <c r="DN31" s="54"/>
      <c r="DO31" s="56"/>
    </row>
    <row r="32" spans="1:119" ht="49" x14ac:dyDescent="0.2">
      <c r="A32" s="26" t="s">
        <v>301</v>
      </c>
      <c r="B32" s="57" t="s">
        <v>219</v>
      </c>
      <c r="C32" s="28" t="s">
        <v>302</v>
      </c>
      <c r="D32" s="227" t="s">
        <v>303</v>
      </c>
      <c r="E32" s="223">
        <v>41153</v>
      </c>
      <c r="F32" s="223"/>
      <c r="G32" s="70"/>
      <c r="H32" s="30" t="s">
        <v>143</v>
      </c>
      <c r="I32" s="30" t="s">
        <v>238</v>
      </c>
      <c r="J32" s="61" t="s">
        <v>304</v>
      </c>
      <c r="K32" s="62" t="s">
        <v>305</v>
      </c>
      <c r="L32" s="30">
        <v>8</v>
      </c>
      <c r="M32" s="32"/>
      <c r="N32" s="63">
        <v>2890</v>
      </c>
      <c r="O32" s="222">
        <v>393</v>
      </c>
      <c r="P32" s="64">
        <f>2603-96-10</f>
        <v>2497</v>
      </c>
      <c r="Q32" s="32"/>
      <c r="R32" s="64">
        <v>79</v>
      </c>
      <c r="S32" s="113"/>
      <c r="T32" s="34"/>
      <c r="U32" s="35">
        <f t="shared" ref="U32:U34" si="38">R32/P32</f>
        <v>3.1637965558670406E-2</v>
      </c>
      <c r="V32" s="36" t="s">
        <v>306</v>
      </c>
      <c r="W32" s="37" t="s">
        <v>128</v>
      </c>
      <c r="X32" s="37"/>
      <c r="Y32" s="37" t="s">
        <v>128</v>
      </c>
      <c r="Z32" s="37"/>
      <c r="AA32" s="37" t="s">
        <v>128</v>
      </c>
      <c r="AB32" s="38"/>
      <c r="AC32" s="38"/>
      <c r="AD32" s="65" t="s">
        <v>126</v>
      </c>
      <c r="AE32" s="38"/>
      <c r="AF32" s="38"/>
      <c r="AG32" s="65" t="s">
        <v>128</v>
      </c>
      <c r="AH32" s="65" t="s">
        <v>128</v>
      </c>
      <c r="AI32" s="38"/>
      <c r="AJ32" s="38"/>
      <c r="AK32" s="66" t="s">
        <v>128</v>
      </c>
      <c r="AL32" s="225"/>
      <c r="AM32" s="67" t="s">
        <v>307</v>
      </c>
      <c r="AN32" s="30">
        <v>1</v>
      </c>
      <c r="AO32" s="222">
        <v>5</v>
      </c>
      <c r="AP32" s="38"/>
      <c r="AQ32" s="42"/>
      <c r="AR32" s="38"/>
      <c r="AS32" s="97"/>
      <c r="AT32" s="30">
        <v>15</v>
      </c>
      <c r="AU32" s="74"/>
      <c r="AV32" s="44">
        <v>6</v>
      </c>
      <c r="AW32" s="44">
        <v>14</v>
      </c>
      <c r="AX32" s="38"/>
      <c r="AY32" s="109"/>
      <c r="AZ32" s="38"/>
      <c r="BA32" s="97"/>
      <c r="BB32" s="30">
        <v>19</v>
      </c>
      <c r="BC32" s="74"/>
      <c r="BD32" s="30">
        <v>15</v>
      </c>
      <c r="BE32" s="30">
        <v>89</v>
      </c>
      <c r="BF32" s="38"/>
      <c r="BG32" s="42"/>
      <c r="BH32" s="38"/>
      <c r="BI32" s="97"/>
      <c r="BJ32" s="30">
        <v>45</v>
      </c>
      <c r="BK32" s="74"/>
      <c r="BL32" s="50"/>
      <c r="BM32" s="50"/>
      <c r="BN32" s="50"/>
      <c r="BO32" s="51"/>
      <c r="BP32" s="50"/>
      <c r="BQ32" s="51"/>
      <c r="BR32" s="50"/>
      <c r="BS32" s="51"/>
      <c r="BT32" s="50"/>
      <c r="BU32" s="50"/>
      <c r="BV32" s="50"/>
      <c r="BW32" s="51"/>
      <c r="BX32" s="50"/>
      <c r="BY32" s="51"/>
      <c r="BZ32" s="50"/>
      <c r="CA32" s="51"/>
      <c r="CB32" s="50"/>
      <c r="CC32" s="50"/>
      <c r="CD32" s="50"/>
      <c r="CE32" s="51"/>
      <c r="CF32" s="50"/>
      <c r="CG32" s="51"/>
      <c r="CH32" s="50"/>
      <c r="CI32" s="51"/>
      <c r="CJ32" s="50"/>
      <c r="CK32" s="50"/>
      <c r="CL32" s="50"/>
      <c r="CM32" s="51"/>
      <c r="CN32" s="50"/>
      <c r="CO32" s="51"/>
      <c r="CP32" s="50"/>
      <c r="CQ32" s="52"/>
      <c r="CR32" s="50"/>
      <c r="CS32" s="50"/>
      <c r="CT32" s="50"/>
      <c r="CU32" s="51"/>
      <c r="CV32" s="53"/>
      <c r="CW32" s="51"/>
      <c r="CX32" s="50"/>
      <c r="CY32" s="52"/>
      <c r="CZ32" s="54"/>
      <c r="DA32" s="54"/>
      <c r="DB32" s="54"/>
      <c r="DC32" s="55"/>
      <c r="DD32" s="54"/>
      <c r="DE32" s="55"/>
      <c r="DF32" s="54"/>
      <c r="DG32" s="56"/>
      <c r="DH32" s="54"/>
      <c r="DI32" s="54"/>
      <c r="DJ32" s="54"/>
      <c r="DK32" s="55"/>
      <c r="DL32" s="54"/>
      <c r="DM32" s="55"/>
      <c r="DN32" s="54"/>
      <c r="DO32" s="56"/>
    </row>
    <row r="33" spans="1:119" ht="145" x14ac:dyDescent="0.2">
      <c r="A33" s="228" t="s">
        <v>308</v>
      </c>
      <c r="B33" s="57" t="s">
        <v>215</v>
      </c>
      <c r="C33" s="69" t="s">
        <v>309</v>
      </c>
      <c r="D33" s="70" t="s">
        <v>224</v>
      </c>
      <c r="E33" s="30">
        <v>2003</v>
      </c>
      <c r="F33" s="30">
        <v>2003</v>
      </c>
      <c r="G33" s="29"/>
      <c r="H33" s="30" t="s">
        <v>225</v>
      </c>
      <c r="I33" s="30" t="s">
        <v>226</v>
      </c>
      <c r="J33" s="30" t="s">
        <v>227</v>
      </c>
      <c r="K33" s="62"/>
      <c r="L33" s="106">
        <v>1</v>
      </c>
      <c r="M33" s="32"/>
      <c r="N33" s="229">
        <v>373</v>
      </c>
      <c r="O33" s="32"/>
      <c r="P33" s="33">
        <v>373</v>
      </c>
      <c r="Q33" s="32"/>
      <c r="R33" s="33">
        <v>28</v>
      </c>
      <c r="S33" s="113"/>
      <c r="T33" s="32"/>
      <c r="U33" s="35">
        <f t="shared" si="38"/>
        <v>7.5067024128686322E-2</v>
      </c>
      <c r="V33" s="36" t="s">
        <v>310</v>
      </c>
      <c r="W33" s="37" t="s">
        <v>128</v>
      </c>
      <c r="X33" s="37"/>
      <c r="Y33" s="37" t="s">
        <v>126</v>
      </c>
      <c r="Z33" s="37" t="s">
        <v>311</v>
      </c>
      <c r="AA33" s="37" t="s">
        <v>128</v>
      </c>
      <c r="AB33" s="38"/>
      <c r="AC33" s="38"/>
      <c r="AD33" s="65" t="s">
        <v>128</v>
      </c>
      <c r="AE33" s="38"/>
      <c r="AF33" s="38"/>
      <c r="AG33" s="65" t="s">
        <v>128</v>
      </c>
      <c r="AH33" s="65" t="s">
        <v>126</v>
      </c>
      <c r="AI33" s="38"/>
      <c r="AJ33" s="37" t="s">
        <v>187</v>
      </c>
      <c r="AK33" s="66" t="s">
        <v>128</v>
      </c>
      <c r="AL33" s="40" t="s">
        <v>312</v>
      </c>
      <c r="AM33" s="67" t="s">
        <v>189</v>
      </c>
      <c r="AN33" s="30">
        <v>2</v>
      </c>
      <c r="AO33" s="30">
        <v>10</v>
      </c>
      <c r="AP33" s="38"/>
      <c r="AQ33" s="42">
        <v>50</v>
      </c>
      <c r="AR33" s="38"/>
      <c r="AS33" s="97"/>
      <c r="AT33" s="30">
        <v>1</v>
      </c>
      <c r="AU33" s="46">
        <f t="shared" ref="AU33:AU34" si="39">AT33/AQ33</f>
        <v>0.02</v>
      </c>
      <c r="AV33" s="30">
        <v>11</v>
      </c>
      <c r="AW33" s="30">
        <v>19</v>
      </c>
      <c r="AX33" s="38"/>
      <c r="AY33" s="42">
        <v>59</v>
      </c>
      <c r="AZ33" s="38"/>
      <c r="BA33" s="97"/>
      <c r="BB33" s="30">
        <v>4</v>
      </c>
      <c r="BC33" s="46">
        <f t="shared" ref="BC33:BC34" si="40">BB33/AY33</f>
        <v>6.7796610169491525E-2</v>
      </c>
      <c r="BD33" s="30">
        <v>20</v>
      </c>
      <c r="BE33" s="30">
        <v>29</v>
      </c>
      <c r="BF33" s="38"/>
      <c r="BG33" s="42">
        <v>63</v>
      </c>
      <c r="BH33" s="38"/>
      <c r="BI33" s="97"/>
      <c r="BJ33" s="30">
        <v>6</v>
      </c>
      <c r="BK33" s="46">
        <f t="shared" ref="BK33:BK34" si="41">BJ33/BG33</f>
        <v>9.5238095238095233E-2</v>
      </c>
      <c r="BL33" s="45">
        <v>30</v>
      </c>
      <c r="BM33" s="30">
        <v>39</v>
      </c>
      <c r="BN33" s="38"/>
      <c r="BO33" s="42">
        <v>61</v>
      </c>
      <c r="BP33" s="38"/>
      <c r="BQ33" s="41"/>
      <c r="BR33" s="30">
        <v>7</v>
      </c>
      <c r="BS33" s="46">
        <f t="shared" ref="BS33:BS34" si="42">BR33/BO33</f>
        <v>0.11475409836065574</v>
      </c>
      <c r="BT33" s="30">
        <v>40</v>
      </c>
      <c r="BU33" s="30">
        <v>49</v>
      </c>
      <c r="BV33" s="38"/>
      <c r="BW33" s="42">
        <v>53</v>
      </c>
      <c r="BX33" s="38"/>
      <c r="BY33" s="41"/>
      <c r="BZ33" s="30">
        <v>5</v>
      </c>
      <c r="CA33" s="46">
        <f t="shared" ref="CA33:CA34" si="43">BZ33/BW33</f>
        <v>9.4339622641509441E-2</v>
      </c>
      <c r="CB33" s="30">
        <v>50</v>
      </c>
      <c r="CC33" s="30">
        <v>59</v>
      </c>
      <c r="CD33" s="38"/>
      <c r="CE33" s="42">
        <v>40</v>
      </c>
      <c r="CF33" s="38"/>
      <c r="CG33" s="41"/>
      <c r="CH33" s="30">
        <v>2</v>
      </c>
      <c r="CI33" s="46">
        <f t="shared" ref="CI33:CI34" si="44">CH33/CE33</f>
        <v>0.05</v>
      </c>
      <c r="CJ33" s="30">
        <v>60</v>
      </c>
      <c r="CK33" s="30">
        <v>69</v>
      </c>
      <c r="CL33" s="38"/>
      <c r="CM33" s="42">
        <v>24</v>
      </c>
      <c r="CN33" s="38"/>
      <c r="CO33" s="41"/>
      <c r="CP33" s="30">
        <v>1</v>
      </c>
      <c r="CQ33" s="46">
        <f t="shared" ref="CQ33:CQ34" si="45">CP33/CM33</f>
        <v>4.1666666666666664E-2</v>
      </c>
      <c r="CR33" s="30">
        <v>70</v>
      </c>
      <c r="CS33" s="30">
        <v>79</v>
      </c>
      <c r="CT33" s="38"/>
      <c r="CU33" s="42">
        <v>12</v>
      </c>
      <c r="CV33" s="38"/>
      <c r="CW33" s="41"/>
      <c r="CX33" s="30">
        <v>2</v>
      </c>
      <c r="CY33" s="46">
        <f t="shared" ref="CY33:CY34" si="46">CX33/CU33</f>
        <v>0.16666666666666666</v>
      </c>
      <c r="CZ33" s="30">
        <v>80</v>
      </c>
      <c r="DA33" s="30">
        <v>89</v>
      </c>
      <c r="DB33" s="38"/>
      <c r="DC33" s="42">
        <v>2</v>
      </c>
      <c r="DD33" s="38"/>
      <c r="DE33" s="41"/>
      <c r="DF33" s="106">
        <v>0</v>
      </c>
      <c r="DG33" s="230">
        <v>0</v>
      </c>
      <c r="DH33" s="30">
        <v>90</v>
      </c>
      <c r="DI33" s="44">
        <v>99</v>
      </c>
      <c r="DJ33" s="38"/>
      <c r="DK33" s="42">
        <v>1</v>
      </c>
      <c r="DL33" s="38"/>
      <c r="DM33" s="41"/>
      <c r="DN33" s="106">
        <v>0</v>
      </c>
      <c r="DO33" s="230">
        <v>0</v>
      </c>
    </row>
    <row r="34" spans="1:119" ht="61" x14ac:dyDescent="0.2">
      <c r="A34" s="228" t="s">
        <v>308</v>
      </c>
      <c r="B34" s="57" t="s">
        <v>160</v>
      </c>
      <c r="C34" s="69" t="s">
        <v>309</v>
      </c>
      <c r="D34" s="70" t="s">
        <v>224</v>
      </c>
      <c r="E34" s="30">
        <v>2003</v>
      </c>
      <c r="F34" s="30">
        <v>2003</v>
      </c>
      <c r="G34" s="29"/>
      <c r="H34" s="30" t="s">
        <v>225</v>
      </c>
      <c r="I34" s="30" t="s">
        <v>226</v>
      </c>
      <c r="J34" s="30" t="s">
        <v>227</v>
      </c>
      <c r="K34" s="62"/>
      <c r="L34" s="106">
        <v>1</v>
      </c>
      <c r="M34" s="32"/>
      <c r="N34" s="229">
        <v>373</v>
      </c>
      <c r="O34" s="32"/>
      <c r="P34" s="33">
        <v>365</v>
      </c>
      <c r="Q34" s="32"/>
      <c r="R34" s="33">
        <f>AT34+BB34+BJ34+BR34+CH34+CP34+CX34+DF34+DN34</f>
        <v>41</v>
      </c>
      <c r="S34" s="113"/>
      <c r="T34" s="32"/>
      <c r="U34" s="35">
        <f t="shared" si="38"/>
        <v>0.11232876712328767</v>
      </c>
      <c r="V34" s="36" t="s">
        <v>313</v>
      </c>
      <c r="W34" s="37" t="s">
        <v>128</v>
      </c>
      <c r="X34" s="37"/>
      <c r="Y34" s="37" t="s">
        <v>126</v>
      </c>
      <c r="Z34" s="37" t="s">
        <v>311</v>
      </c>
      <c r="AA34" s="37" t="s">
        <v>128</v>
      </c>
      <c r="AB34" s="38"/>
      <c r="AC34" s="38"/>
      <c r="AD34" s="65" t="s">
        <v>128</v>
      </c>
      <c r="AE34" s="38"/>
      <c r="AF34" s="38"/>
      <c r="AG34" s="65" t="s">
        <v>126</v>
      </c>
      <c r="AH34" s="65" t="s">
        <v>128</v>
      </c>
      <c r="AI34" s="133"/>
      <c r="AJ34" s="38"/>
      <c r="AK34" s="66" t="s">
        <v>128</v>
      </c>
      <c r="AL34" s="40" t="s">
        <v>312</v>
      </c>
      <c r="AM34" s="67" t="s">
        <v>314</v>
      </c>
      <c r="AN34" s="30">
        <v>2</v>
      </c>
      <c r="AO34" s="30">
        <v>10</v>
      </c>
      <c r="AP34" s="38"/>
      <c r="AQ34" s="30">
        <v>50</v>
      </c>
      <c r="AR34" s="68"/>
      <c r="AS34" s="97"/>
      <c r="AT34" s="45">
        <v>9</v>
      </c>
      <c r="AU34" s="46">
        <f t="shared" si="39"/>
        <v>0.18</v>
      </c>
      <c r="AV34" s="30">
        <v>11</v>
      </c>
      <c r="AW34" s="30">
        <v>19</v>
      </c>
      <c r="AX34" s="38"/>
      <c r="AY34" s="42">
        <v>59</v>
      </c>
      <c r="AZ34" s="38"/>
      <c r="BA34" s="97"/>
      <c r="BB34" s="30">
        <v>3</v>
      </c>
      <c r="BC34" s="46">
        <f t="shared" si="40"/>
        <v>5.0847457627118647E-2</v>
      </c>
      <c r="BD34" s="30">
        <v>20</v>
      </c>
      <c r="BE34" s="30">
        <v>29</v>
      </c>
      <c r="BF34" s="38"/>
      <c r="BG34" s="42">
        <v>63</v>
      </c>
      <c r="BH34" s="38"/>
      <c r="BI34" s="97"/>
      <c r="BJ34" s="30">
        <v>9</v>
      </c>
      <c r="BK34" s="46">
        <f t="shared" si="41"/>
        <v>0.14285714285714285</v>
      </c>
      <c r="BL34" s="45">
        <v>30</v>
      </c>
      <c r="BM34" s="30">
        <v>39</v>
      </c>
      <c r="BN34" s="38"/>
      <c r="BO34" s="42">
        <v>61</v>
      </c>
      <c r="BP34" s="68"/>
      <c r="BQ34" s="38"/>
      <c r="BR34" s="45">
        <v>11</v>
      </c>
      <c r="BS34" s="48">
        <f t="shared" si="42"/>
        <v>0.18032786885245902</v>
      </c>
      <c r="BT34" s="45">
        <v>40</v>
      </c>
      <c r="BU34" s="30">
        <v>49</v>
      </c>
      <c r="BV34" s="38"/>
      <c r="BW34" s="42">
        <v>53</v>
      </c>
      <c r="BX34" s="38"/>
      <c r="BY34" s="41"/>
      <c r="BZ34" s="30">
        <v>7</v>
      </c>
      <c r="CA34" s="46">
        <f t="shared" si="43"/>
        <v>0.13207547169811321</v>
      </c>
      <c r="CB34" s="45">
        <v>50</v>
      </c>
      <c r="CC34" s="30">
        <v>59</v>
      </c>
      <c r="CD34" s="38"/>
      <c r="CE34" s="42">
        <v>40</v>
      </c>
      <c r="CF34" s="38"/>
      <c r="CG34" s="41"/>
      <c r="CH34" s="30">
        <v>6</v>
      </c>
      <c r="CI34" s="46">
        <f t="shared" si="44"/>
        <v>0.15</v>
      </c>
      <c r="CJ34" s="30">
        <v>60</v>
      </c>
      <c r="CK34" s="30">
        <v>69</v>
      </c>
      <c r="CL34" s="38"/>
      <c r="CM34" s="42">
        <v>24</v>
      </c>
      <c r="CN34" s="38"/>
      <c r="CO34" s="41"/>
      <c r="CP34" s="30">
        <v>2</v>
      </c>
      <c r="CQ34" s="46">
        <f t="shared" si="45"/>
        <v>8.3333333333333329E-2</v>
      </c>
      <c r="CR34" s="30">
        <v>70</v>
      </c>
      <c r="CS34" s="30">
        <v>79</v>
      </c>
      <c r="CT34" s="38"/>
      <c r="CU34" s="42">
        <v>12</v>
      </c>
      <c r="CV34" s="38"/>
      <c r="CW34" s="41"/>
      <c r="CX34" s="30">
        <v>0</v>
      </c>
      <c r="CY34" s="46">
        <f t="shared" si="46"/>
        <v>0</v>
      </c>
      <c r="CZ34" s="30">
        <v>80</v>
      </c>
      <c r="DA34" s="30">
        <v>89</v>
      </c>
      <c r="DB34" s="38"/>
      <c r="DC34" s="42">
        <v>2</v>
      </c>
      <c r="DD34" s="38"/>
      <c r="DE34" s="41"/>
      <c r="DF34" s="106">
        <v>1</v>
      </c>
      <c r="DG34" s="230">
        <f>DF34/DC34</f>
        <v>0.5</v>
      </c>
      <c r="DH34" s="30">
        <v>90</v>
      </c>
      <c r="DI34" s="44">
        <v>99</v>
      </c>
      <c r="DJ34" s="38"/>
      <c r="DK34" s="42">
        <v>1</v>
      </c>
      <c r="DL34" s="38"/>
      <c r="DM34" s="41"/>
      <c r="DN34" s="106">
        <v>0</v>
      </c>
      <c r="DO34" s="230">
        <v>0</v>
      </c>
    </row>
    <row r="35" spans="1:119" ht="49" x14ac:dyDescent="0.2">
      <c r="A35" s="231" t="s">
        <v>315</v>
      </c>
      <c r="B35" s="165" t="s">
        <v>141</v>
      </c>
      <c r="C35" s="145" t="s">
        <v>316</v>
      </c>
      <c r="D35" s="213" t="s">
        <v>317</v>
      </c>
      <c r="E35" s="232">
        <v>38718</v>
      </c>
      <c r="F35" s="232">
        <v>39082</v>
      </c>
      <c r="G35" s="166">
        <v>1</v>
      </c>
      <c r="H35" s="152" t="s">
        <v>143</v>
      </c>
      <c r="I35" s="152" t="s">
        <v>205</v>
      </c>
      <c r="J35" s="205" t="s">
        <v>318</v>
      </c>
      <c r="K35" s="121" t="s">
        <v>319</v>
      </c>
      <c r="L35" s="122">
        <v>17</v>
      </c>
      <c r="M35" s="124">
        <v>31324</v>
      </c>
      <c r="N35" s="233">
        <v>31324</v>
      </c>
      <c r="O35" s="32"/>
      <c r="P35" s="29"/>
      <c r="Q35" s="233">
        <v>177</v>
      </c>
      <c r="R35" s="29"/>
      <c r="S35" s="234">
        <v>1</v>
      </c>
      <c r="T35" s="235">
        <f>Q35/N35/S35*1000</f>
        <v>5.6506193334184642</v>
      </c>
      <c r="U35" s="129"/>
      <c r="V35" s="236" t="s">
        <v>320</v>
      </c>
      <c r="W35" s="38"/>
      <c r="X35" s="38"/>
      <c r="Y35" s="38"/>
      <c r="Z35" s="38"/>
      <c r="AA35" s="38"/>
      <c r="AB35" s="38"/>
      <c r="AC35" s="29"/>
      <c r="AD35" s="38"/>
      <c r="AE35" s="38"/>
      <c r="AF35" s="38"/>
      <c r="AG35" s="191"/>
      <c r="AH35" s="191"/>
      <c r="AI35" s="38"/>
      <c r="AJ35" s="38"/>
      <c r="AK35" s="191"/>
      <c r="AL35" s="38"/>
      <c r="AM35" s="41"/>
      <c r="AN35" s="237">
        <v>0</v>
      </c>
      <c r="AO35" s="237">
        <v>4</v>
      </c>
      <c r="AP35" s="38"/>
      <c r="AQ35" s="38"/>
      <c r="AR35" s="68"/>
      <c r="AS35" s="238">
        <v>1.86</v>
      </c>
      <c r="AT35" s="68"/>
      <c r="AU35" s="74"/>
      <c r="AV35" s="237">
        <v>5</v>
      </c>
      <c r="AW35" s="237">
        <v>14</v>
      </c>
      <c r="AX35" s="38"/>
      <c r="AY35" s="41"/>
      <c r="AZ35" s="38"/>
      <c r="BA35" s="239">
        <v>8.32</v>
      </c>
      <c r="BB35" s="38"/>
      <c r="BC35" s="74"/>
      <c r="BD35" s="237">
        <v>15</v>
      </c>
      <c r="BE35" s="237">
        <v>29</v>
      </c>
      <c r="BF35" s="38"/>
      <c r="BG35" s="41"/>
      <c r="BH35" s="38"/>
      <c r="BI35" s="238">
        <v>5.74</v>
      </c>
      <c r="BJ35" s="38"/>
      <c r="BK35" s="74"/>
      <c r="BL35" s="240">
        <v>30</v>
      </c>
      <c r="BM35" s="237">
        <v>44</v>
      </c>
      <c r="BN35" s="38"/>
      <c r="BO35" s="41"/>
      <c r="BP35" s="68"/>
      <c r="BQ35" s="235">
        <v>6.05</v>
      </c>
      <c r="BR35" s="68"/>
      <c r="BS35" s="175"/>
      <c r="BT35" s="240">
        <v>45</v>
      </c>
      <c r="BU35" s="237">
        <v>59</v>
      </c>
      <c r="BV35" s="177"/>
      <c r="BW35" s="184"/>
      <c r="BX35" s="177"/>
      <c r="BY35" s="241">
        <v>4.4000000000000004</v>
      </c>
      <c r="BZ35" s="177"/>
      <c r="CA35" s="178"/>
      <c r="CB35" s="240">
        <v>60</v>
      </c>
      <c r="CC35" s="193">
        <v>89</v>
      </c>
      <c r="CD35" s="177"/>
      <c r="CE35" s="184"/>
      <c r="CF35" s="177"/>
      <c r="CG35" s="241">
        <v>2.2999999999999998</v>
      </c>
      <c r="CH35" s="177"/>
      <c r="CI35" s="178"/>
      <c r="CJ35" s="50"/>
      <c r="CK35" s="50"/>
      <c r="CL35" s="50"/>
      <c r="CM35" s="51"/>
      <c r="CN35" s="50"/>
      <c r="CO35" s="51"/>
      <c r="CP35" s="50"/>
      <c r="CQ35" s="52"/>
      <c r="CR35" s="50"/>
      <c r="CS35" s="50"/>
      <c r="CT35" s="50"/>
      <c r="CU35" s="51"/>
      <c r="CV35" s="53"/>
      <c r="CW35" s="51"/>
      <c r="CX35" s="50"/>
      <c r="CY35" s="52"/>
      <c r="CZ35" s="54"/>
      <c r="DA35" s="54"/>
      <c r="DB35" s="54"/>
      <c r="DC35" s="55"/>
      <c r="DD35" s="54"/>
      <c r="DE35" s="55"/>
      <c r="DF35" s="54"/>
      <c r="DG35" s="56"/>
      <c r="DH35" s="54"/>
      <c r="DI35" s="54"/>
      <c r="DJ35" s="54"/>
      <c r="DK35" s="55"/>
      <c r="DL35" s="54"/>
      <c r="DM35" s="55"/>
      <c r="DN35" s="54"/>
      <c r="DO35" s="56"/>
    </row>
    <row r="36" spans="1:119" ht="49" x14ac:dyDescent="0.2">
      <c r="A36" s="26" t="s">
        <v>315</v>
      </c>
      <c r="B36" s="57" t="s">
        <v>131</v>
      </c>
      <c r="C36" s="186" t="s">
        <v>321</v>
      </c>
      <c r="D36" s="70" t="s">
        <v>280</v>
      </c>
      <c r="E36" s="30">
        <v>2006</v>
      </c>
      <c r="F36" s="30">
        <v>2006</v>
      </c>
      <c r="G36" s="29"/>
      <c r="H36" s="30" t="s">
        <v>143</v>
      </c>
      <c r="I36" s="30" t="s">
        <v>205</v>
      </c>
      <c r="J36" s="30" t="s">
        <v>206</v>
      </c>
      <c r="K36" s="62"/>
      <c r="L36" s="106">
        <v>16</v>
      </c>
      <c r="M36" s="63">
        <v>12176</v>
      </c>
      <c r="N36" s="63">
        <v>10323</v>
      </c>
      <c r="O36" s="222">
        <f>2272+1853</f>
        <v>4125</v>
      </c>
      <c r="P36" s="64">
        <v>8051</v>
      </c>
      <c r="Q36" s="34"/>
      <c r="R36" s="64">
        <f>742+748</f>
        <v>1490</v>
      </c>
      <c r="S36" s="113"/>
      <c r="T36" s="34"/>
      <c r="U36" s="103">
        <f>R36/P36</f>
        <v>0.18507017761768724</v>
      </c>
      <c r="V36" s="36" t="s">
        <v>322</v>
      </c>
      <c r="W36" s="37"/>
      <c r="X36" s="37"/>
      <c r="Y36" s="37" t="s">
        <v>126</v>
      </c>
      <c r="Z36" s="37" t="s">
        <v>323</v>
      </c>
      <c r="AA36" s="37" t="s">
        <v>128</v>
      </c>
      <c r="AB36" s="38"/>
      <c r="AC36" s="38"/>
      <c r="AD36" s="65" t="s">
        <v>128</v>
      </c>
      <c r="AE36" s="38"/>
      <c r="AF36" s="38"/>
      <c r="AG36" s="65" t="s">
        <v>128</v>
      </c>
      <c r="AH36" s="65" t="s">
        <v>126</v>
      </c>
      <c r="AI36" s="38"/>
      <c r="AJ36" s="37" t="s">
        <v>213</v>
      </c>
      <c r="AK36" s="66" t="s">
        <v>128</v>
      </c>
      <c r="AL36" s="40" t="s">
        <v>324</v>
      </c>
      <c r="AM36" s="67" t="s">
        <v>189</v>
      </c>
      <c r="AN36" s="30">
        <v>2</v>
      </c>
      <c r="AO36" s="30">
        <v>6</v>
      </c>
      <c r="AP36" s="38"/>
      <c r="AQ36" s="30">
        <v>1567</v>
      </c>
      <c r="AR36" s="68"/>
      <c r="AS36" s="97"/>
      <c r="AT36" s="242">
        <f>83+56</f>
        <v>139</v>
      </c>
      <c r="AU36" s="46">
        <f t="shared" ref="AU36:AU41" si="47">AT36/AQ36</f>
        <v>8.8704530950861518E-2</v>
      </c>
      <c r="AV36" s="44">
        <v>7</v>
      </c>
      <c r="AW36" s="44">
        <v>13</v>
      </c>
      <c r="AX36" s="38"/>
      <c r="AY36" s="109">
        <v>1930</v>
      </c>
      <c r="AZ36" s="38"/>
      <c r="BA36" s="97"/>
      <c r="BB36" s="166">
        <f>168+174</f>
        <v>342</v>
      </c>
      <c r="BC36" s="46">
        <f t="shared" ref="BC36:BC41" si="48">BB36/AY36</f>
        <v>0.17720207253886011</v>
      </c>
      <c r="BD36" s="30">
        <v>14</v>
      </c>
      <c r="BE36" s="30">
        <v>24</v>
      </c>
      <c r="BF36" s="38"/>
      <c r="BG36" s="42">
        <v>1096</v>
      </c>
      <c r="BH36" s="38"/>
      <c r="BI36" s="97"/>
      <c r="BJ36" s="193">
        <f>102+96</f>
        <v>198</v>
      </c>
      <c r="BK36" s="46">
        <f t="shared" ref="BK36:BK41" si="49">BJ36/BG36</f>
        <v>0.18065693430656934</v>
      </c>
      <c r="BL36" s="45">
        <v>25</v>
      </c>
      <c r="BM36" s="30">
        <v>39</v>
      </c>
      <c r="BN36" s="38"/>
      <c r="BO36" s="42">
        <v>1484</v>
      </c>
      <c r="BP36" s="68"/>
      <c r="BQ36" s="38"/>
      <c r="BR36" s="240">
        <f>179+121</f>
        <v>300</v>
      </c>
      <c r="BS36" s="48">
        <f t="shared" ref="BS36:BS40" si="50">BR36/BO36</f>
        <v>0.20215633423180593</v>
      </c>
      <c r="BT36" s="45">
        <v>40</v>
      </c>
      <c r="BU36" s="44">
        <v>89</v>
      </c>
      <c r="BV36" s="38"/>
      <c r="BW36" s="42">
        <v>1974</v>
      </c>
      <c r="BX36" s="38"/>
      <c r="BY36" s="41"/>
      <c r="BZ36" s="237">
        <f>268+243</f>
        <v>511</v>
      </c>
      <c r="CA36" s="46">
        <f t="shared" ref="CA36:CA40" si="51">BZ36/BW36</f>
        <v>0.25886524822695034</v>
      </c>
      <c r="CB36" s="49"/>
      <c r="CC36" s="50"/>
      <c r="CD36" s="50"/>
      <c r="CE36" s="51"/>
      <c r="CF36" s="50"/>
      <c r="CG36" s="51"/>
      <c r="CH36" s="50"/>
      <c r="CI36" s="52"/>
      <c r="CJ36" s="50"/>
      <c r="CK36" s="50"/>
      <c r="CL36" s="50"/>
      <c r="CM36" s="51"/>
      <c r="CN36" s="50"/>
      <c r="CO36" s="51"/>
      <c r="CP36" s="50"/>
      <c r="CQ36" s="52"/>
      <c r="CR36" s="50"/>
      <c r="CS36" s="50"/>
      <c r="CT36" s="50"/>
      <c r="CU36" s="51"/>
      <c r="CV36" s="53"/>
      <c r="CW36" s="51"/>
      <c r="CX36" s="50"/>
      <c r="CY36" s="52"/>
      <c r="CZ36" s="54"/>
      <c r="DA36" s="54"/>
      <c r="DB36" s="54"/>
      <c r="DC36" s="55"/>
      <c r="DD36" s="54"/>
      <c r="DE36" s="55"/>
      <c r="DF36" s="54"/>
      <c r="DG36" s="56"/>
      <c r="DH36" s="54"/>
      <c r="DI36" s="54"/>
      <c r="DJ36" s="54"/>
      <c r="DK36" s="55"/>
      <c r="DL36" s="54"/>
      <c r="DM36" s="55"/>
      <c r="DN36" s="54"/>
      <c r="DO36" s="56"/>
    </row>
    <row r="37" spans="1:119" ht="145" x14ac:dyDescent="0.2">
      <c r="A37" s="114" t="s">
        <v>325</v>
      </c>
      <c r="B37" s="115" t="s">
        <v>131</v>
      </c>
      <c r="C37" s="208" t="s">
        <v>326</v>
      </c>
      <c r="D37" s="213" t="s">
        <v>317</v>
      </c>
      <c r="E37" s="29"/>
      <c r="F37" s="29"/>
      <c r="G37" s="29"/>
      <c r="H37" s="120" t="s">
        <v>143</v>
      </c>
      <c r="I37" s="120" t="s">
        <v>205</v>
      </c>
      <c r="J37" s="120" t="s">
        <v>327</v>
      </c>
      <c r="K37" s="121" t="s">
        <v>328</v>
      </c>
      <c r="L37" s="122">
        <v>1</v>
      </c>
      <c r="M37" s="218">
        <v>557</v>
      </c>
      <c r="N37" s="123">
        <v>355</v>
      </c>
      <c r="O37" s="32"/>
      <c r="P37" s="123">
        <v>355</v>
      </c>
      <c r="Q37" s="34"/>
      <c r="R37" s="123">
        <v>50</v>
      </c>
      <c r="S37" s="203"/>
      <c r="T37" s="126"/>
      <c r="U37" s="243">
        <v>0.11</v>
      </c>
      <c r="V37" s="130" t="s">
        <v>329</v>
      </c>
      <c r="W37" s="131" t="s">
        <v>126</v>
      </c>
      <c r="X37" s="131" t="s">
        <v>330</v>
      </c>
      <c r="Y37" s="131" t="s">
        <v>126</v>
      </c>
      <c r="Z37" s="132"/>
      <c r="AA37" s="132" t="s">
        <v>128</v>
      </c>
      <c r="AB37" s="38"/>
      <c r="AC37" s="38"/>
      <c r="AD37" s="132" t="s">
        <v>126</v>
      </c>
      <c r="AE37" s="38"/>
      <c r="AF37" s="38"/>
      <c r="AG37" s="132" t="s">
        <v>128</v>
      </c>
      <c r="AH37" s="132" t="s">
        <v>126</v>
      </c>
      <c r="AI37" s="133"/>
      <c r="AJ37" s="171" t="s">
        <v>254</v>
      </c>
      <c r="AK37" s="134" t="s">
        <v>126</v>
      </c>
      <c r="AL37" s="244" t="s">
        <v>331</v>
      </c>
      <c r="AM37" s="67" t="s">
        <v>332</v>
      </c>
      <c r="AN37" s="122">
        <v>0</v>
      </c>
      <c r="AO37" s="122">
        <v>4</v>
      </c>
      <c r="AP37" s="38"/>
      <c r="AQ37" s="179">
        <v>27</v>
      </c>
      <c r="AR37" s="38"/>
      <c r="AS37" s="97"/>
      <c r="AT37" s="122">
        <v>2</v>
      </c>
      <c r="AU37" s="206">
        <f t="shared" si="47"/>
        <v>7.407407407407407E-2</v>
      </c>
      <c r="AV37" s="122">
        <v>5</v>
      </c>
      <c r="AW37" s="122">
        <v>14</v>
      </c>
      <c r="AX37" s="38"/>
      <c r="AY37" s="179">
        <v>117</v>
      </c>
      <c r="AZ37" s="38"/>
      <c r="BA37" s="97"/>
      <c r="BB37" s="122">
        <v>15</v>
      </c>
      <c r="BC37" s="206">
        <f t="shared" si="48"/>
        <v>0.12820512820512819</v>
      </c>
      <c r="BD37" s="140">
        <v>15</v>
      </c>
      <c r="BE37" s="140">
        <v>29</v>
      </c>
      <c r="BF37" s="38"/>
      <c r="BG37" s="245">
        <v>79</v>
      </c>
      <c r="BH37" s="38"/>
      <c r="BI37" s="97"/>
      <c r="BJ37" s="122">
        <v>14</v>
      </c>
      <c r="BK37" s="207">
        <f t="shared" si="49"/>
        <v>0.17721518987341772</v>
      </c>
      <c r="BL37" s="137">
        <v>30</v>
      </c>
      <c r="BM37" s="122">
        <v>44</v>
      </c>
      <c r="BN37" s="47"/>
      <c r="BO37" s="179">
        <v>57</v>
      </c>
      <c r="BP37" s="47"/>
      <c r="BQ37" s="246"/>
      <c r="BR37" s="162">
        <v>12</v>
      </c>
      <c r="BS37" s="206">
        <f t="shared" si="50"/>
        <v>0.21052631578947367</v>
      </c>
      <c r="BT37" s="122">
        <v>45</v>
      </c>
      <c r="BU37" s="122">
        <v>59</v>
      </c>
      <c r="BV37" s="177"/>
      <c r="BW37" s="179">
        <v>60</v>
      </c>
      <c r="BX37" s="38"/>
      <c r="BY37" s="41"/>
      <c r="BZ37" s="162">
        <v>6</v>
      </c>
      <c r="CA37" s="206">
        <f t="shared" si="51"/>
        <v>0.1</v>
      </c>
      <c r="CB37" s="122">
        <v>60</v>
      </c>
      <c r="CC37" s="162">
        <v>89</v>
      </c>
      <c r="CD37" s="177"/>
      <c r="CE37" s="181">
        <v>15</v>
      </c>
      <c r="CF37" s="177"/>
      <c r="CG37" s="184"/>
      <c r="CH37" s="122">
        <v>1</v>
      </c>
      <c r="CI37" s="247">
        <f t="shared" ref="CI37:CI40" si="52">CH37/CE37</f>
        <v>6.6666666666666666E-2</v>
      </c>
      <c r="CJ37" s="50"/>
      <c r="CK37" s="50"/>
      <c r="CL37" s="50"/>
      <c r="CM37" s="51"/>
      <c r="CN37" s="50"/>
      <c r="CO37" s="51"/>
      <c r="CP37" s="50"/>
      <c r="CQ37" s="52"/>
      <c r="CR37" s="50"/>
      <c r="CS37" s="50"/>
      <c r="CT37" s="50"/>
      <c r="CU37" s="51"/>
      <c r="CV37" s="53"/>
      <c r="CW37" s="51"/>
      <c r="CX37" s="50"/>
      <c r="CY37" s="52"/>
      <c r="CZ37" s="54"/>
      <c r="DA37" s="54"/>
      <c r="DB37" s="54"/>
      <c r="DC37" s="55"/>
      <c r="DD37" s="54"/>
      <c r="DE37" s="55"/>
      <c r="DF37" s="54"/>
      <c r="DG37" s="56"/>
      <c r="DH37" s="54"/>
      <c r="DI37" s="54"/>
      <c r="DJ37" s="54"/>
      <c r="DK37" s="55"/>
      <c r="DL37" s="54"/>
      <c r="DM37" s="55"/>
      <c r="DN37" s="54"/>
      <c r="DO37" s="56"/>
    </row>
    <row r="38" spans="1:119" ht="49" x14ac:dyDescent="0.2">
      <c r="A38" s="114" t="s">
        <v>325</v>
      </c>
      <c r="B38" s="248" t="s">
        <v>215</v>
      </c>
      <c r="C38" s="208" t="s">
        <v>326</v>
      </c>
      <c r="D38" s="213" t="s">
        <v>317</v>
      </c>
      <c r="E38" s="29"/>
      <c r="F38" s="29"/>
      <c r="G38" s="29"/>
      <c r="H38" s="120" t="s">
        <v>143</v>
      </c>
      <c r="I38" s="120" t="s">
        <v>205</v>
      </c>
      <c r="J38" s="120" t="s">
        <v>327</v>
      </c>
      <c r="K38" s="121" t="s">
        <v>328</v>
      </c>
      <c r="L38" s="122">
        <v>1</v>
      </c>
      <c r="M38" s="218">
        <v>557</v>
      </c>
      <c r="N38" s="123">
        <v>355</v>
      </c>
      <c r="O38" s="32"/>
      <c r="P38" s="123">
        <v>355</v>
      </c>
      <c r="Q38" s="34"/>
      <c r="R38" s="168">
        <v>39</v>
      </c>
      <c r="S38" s="203"/>
      <c r="T38" s="126"/>
      <c r="U38" s="243">
        <f t="shared" ref="U38:U41" si="53">R38/P38</f>
        <v>0.10985915492957747</v>
      </c>
      <c r="V38" s="130" t="s">
        <v>333</v>
      </c>
      <c r="W38" s="131" t="s">
        <v>126</v>
      </c>
      <c r="X38" s="131" t="s">
        <v>330</v>
      </c>
      <c r="Y38" s="131" t="s">
        <v>126</v>
      </c>
      <c r="Z38" s="132"/>
      <c r="AA38" s="132" t="s">
        <v>128</v>
      </c>
      <c r="AB38" s="38"/>
      <c r="AC38" s="38"/>
      <c r="AD38" s="131" t="s">
        <v>128</v>
      </c>
      <c r="AE38" s="38"/>
      <c r="AF38" s="38"/>
      <c r="AG38" s="132" t="s">
        <v>128</v>
      </c>
      <c r="AH38" s="132" t="s">
        <v>126</v>
      </c>
      <c r="AI38" s="133"/>
      <c r="AJ38" s="171" t="s">
        <v>254</v>
      </c>
      <c r="AK38" s="205" t="s">
        <v>128</v>
      </c>
      <c r="AL38" s="244" t="s">
        <v>331</v>
      </c>
      <c r="AM38" s="67" t="s">
        <v>332</v>
      </c>
      <c r="AN38" s="122">
        <v>0</v>
      </c>
      <c r="AO38" s="122">
        <v>4</v>
      </c>
      <c r="AP38" s="38"/>
      <c r="AQ38" s="181">
        <v>27</v>
      </c>
      <c r="AR38" s="38"/>
      <c r="AS38" s="97"/>
      <c r="AT38" s="162">
        <v>2</v>
      </c>
      <c r="AU38" s="206">
        <f t="shared" si="47"/>
        <v>7.407407407407407E-2</v>
      </c>
      <c r="AV38" s="122">
        <v>5</v>
      </c>
      <c r="AW38" s="122">
        <v>14</v>
      </c>
      <c r="AX38" s="38"/>
      <c r="AY38" s="181">
        <v>117</v>
      </c>
      <c r="AZ38" s="38"/>
      <c r="BA38" s="97"/>
      <c r="BB38" s="162">
        <v>9</v>
      </c>
      <c r="BC38" s="206">
        <f t="shared" si="48"/>
        <v>7.6923076923076927E-2</v>
      </c>
      <c r="BD38" s="140">
        <v>15</v>
      </c>
      <c r="BE38" s="140">
        <v>29</v>
      </c>
      <c r="BF38" s="38"/>
      <c r="BG38" s="109">
        <v>79</v>
      </c>
      <c r="BH38" s="38"/>
      <c r="BI38" s="97"/>
      <c r="BJ38" s="162">
        <v>12</v>
      </c>
      <c r="BK38" s="216">
        <f t="shared" si="49"/>
        <v>0.15189873417721519</v>
      </c>
      <c r="BL38" s="137">
        <v>30</v>
      </c>
      <c r="BM38" s="122">
        <v>44</v>
      </c>
      <c r="BN38" s="47"/>
      <c r="BO38" s="179">
        <v>57</v>
      </c>
      <c r="BP38" s="47"/>
      <c r="BQ38" s="246"/>
      <c r="BR38" s="162">
        <v>10</v>
      </c>
      <c r="BS38" s="206">
        <f t="shared" si="50"/>
        <v>0.17543859649122806</v>
      </c>
      <c r="BT38" s="122">
        <v>45</v>
      </c>
      <c r="BU38" s="122">
        <v>59</v>
      </c>
      <c r="BV38" s="177"/>
      <c r="BW38" s="179">
        <v>60</v>
      </c>
      <c r="BX38" s="38"/>
      <c r="BY38" s="41"/>
      <c r="BZ38" s="162">
        <v>6</v>
      </c>
      <c r="CA38" s="206">
        <f t="shared" si="51"/>
        <v>0.1</v>
      </c>
      <c r="CB38" s="122">
        <v>60</v>
      </c>
      <c r="CC38" s="162">
        <v>89</v>
      </c>
      <c r="CD38" s="177"/>
      <c r="CE38" s="181">
        <v>15</v>
      </c>
      <c r="CF38" s="177"/>
      <c r="CG38" s="184"/>
      <c r="CH38" s="162">
        <v>0</v>
      </c>
      <c r="CI38" s="247">
        <f t="shared" si="52"/>
        <v>0</v>
      </c>
      <c r="CJ38" s="50"/>
      <c r="CK38" s="50"/>
      <c r="CL38" s="50"/>
      <c r="CM38" s="51"/>
      <c r="CN38" s="50"/>
      <c r="CO38" s="51"/>
      <c r="CP38" s="50"/>
      <c r="CQ38" s="52"/>
      <c r="CR38" s="50"/>
      <c r="CS38" s="50"/>
      <c r="CT38" s="50"/>
      <c r="CU38" s="51"/>
      <c r="CV38" s="53"/>
      <c r="CW38" s="51"/>
      <c r="CX38" s="50"/>
      <c r="CY38" s="52"/>
      <c r="CZ38" s="54"/>
      <c r="DA38" s="54"/>
      <c r="DB38" s="54"/>
      <c r="DC38" s="55"/>
      <c r="DD38" s="54"/>
      <c r="DE38" s="55"/>
      <c r="DF38" s="54"/>
      <c r="DG38" s="56"/>
      <c r="DH38" s="54"/>
      <c r="DI38" s="54"/>
      <c r="DJ38" s="54"/>
      <c r="DK38" s="55"/>
      <c r="DL38" s="54"/>
      <c r="DM38" s="55"/>
      <c r="DN38" s="54"/>
      <c r="DO38" s="56"/>
    </row>
    <row r="39" spans="1:119" ht="49" x14ac:dyDescent="0.2">
      <c r="A39" s="114" t="s">
        <v>325</v>
      </c>
      <c r="B39" s="248" t="s">
        <v>334</v>
      </c>
      <c r="C39" s="208" t="s">
        <v>326</v>
      </c>
      <c r="D39" s="213" t="s">
        <v>317</v>
      </c>
      <c r="E39" s="29"/>
      <c r="F39" s="29"/>
      <c r="G39" s="29"/>
      <c r="H39" s="120" t="s">
        <v>143</v>
      </c>
      <c r="I39" s="120" t="s">
        <v>205</v>
      </c>
      <c r="J39" s="120" t="s">
        <v>327</v>
      </c>
      <c r="K39" s="121" t="s">
        <v>328</v>
      </c>
      <c r="L39" s="122">
        <v>1</v>
      </c>
      <c r="M39" s="218">
        <v>557</v>
      </c>
      <c r="N39" s="123">
        <v>355</v>
      </c>
      <c r="O39" s="32"/>
      <c r="P39" s="123">
        <v>355</v>
      </c>
      <c r="Q39" s="34"/>
      <c r="R39" s="168">
        <v>28</v>
      </c>
      <c r="S39" s="203"/>
      <c r="T39" s="126"/>
      <c r="U39" s="243">
        <f t="shared" si="53"/>
        <v>7.8873239436619724E-2</v>
      </c>
      <c r="V39" s="130" t="s">
        <v>335</v>
      </c>
      <c r="W39" s="131" t="s">
        <v>126</v>
      </c>
      <c r="X39" s="131" t="s">
        <v>330</v>
      </c>
      <c r="Y39" s="131" t="s">
        <v>126</v>
      </c>
      <c r="Z39" s="132"/>
      <c r="AA39" s="132" t="s">
        <v>128</v>
      </c>
      <c r="AB39" s="38"/>
      <c r="AC39" s="38"/>
      <c r="AD39" s="131" t="s">
        <v>128</v>
      </c>
      <c r="AE39" s="38"/>
      <c r="AF39" s="38"/>
      <c r="AG39" s="132" t="s">
        <v>128</v>
      </c>
      <c r="AH39" s="131" t="s">
        <v>128</v>
      </c>
      <c r="AI39" s="133"/>
      <c r="AJ39" s="133"/>
      <c r="AK39" s="134" t="s">
        <v>126</v>
      </c>
      <c r="AL39" s="244" t="s">
        <v>331</v>
      </c>
      <c r="AM39" s="67" t="s">
        <v>332</v>
      </c>
      <c r="AN39" s="122">
        <v>0</v>
      </c>
      <c r="AO39" s="122">
        <v>4</v>
      </c>
      <c r="AP39" s="38"/>
      <c r="AQ39" s="181">
        <v>27</v>
      </c>
      <c r="AR39" s="38"/>
      <c r="AS39" s="97"/>
      <c r="AT39" s="162">
        <v>3</v>
      </c>
      <c r="AU39" s="206">
        <f t="shared" si="47"/>
        <v>0.1111111111111111</v>
      </c>
      <c r="AV39" s="122">
        <v>5</v>
      </c>
      <c r="AW39" s="122">
        <v>14</v>
      </c>
      <c r="AX39" s="38"/>
      <c r="AY39" s="181">
        <v>117</v>
      </c>
      <c r="AZ39" s="38"/>
      <c r="BA39" s="97"/>
      <c r="BB39" s="162">
        <v>10</v>
      </c>
      <c r="BC39" s="206">
        <f t="shared" si="48"/>
        <v>8.5470085470085472E-2</v>
      </c>
      <c r="BD39" s="140">
        <v>15</v>
      </c>
      <c r="BE39" s="140">
        <v>29</v>
      </c>
      <c r="BF39" s="38"/>
      <c r="BG39" s="109">
        <v>79</v>
      </c>
      <c r="BH39" s="38"/>
      <c r="BI39" s="97"/>
      <c r="BJ39" s="162">
        <v>6</v>
      </c>
      <c r="BK39" s="216">
        <f t="shared" si="49"/>
        <v>7.5949367088607597E-2</v>
      </c>
      <c r="BL39" s="137">
        <v>30</v>
      </c>
      <c r="BM39" s="122">
        <v>44</v>
      </c>
      <c r="BN39" s="47"/>
      <c r="BO39" s="179">
        <v>57</v>
      </c>
      <c r="BP39" s="47"/>
      <c r="BQ39" s="246"/>
      <c r="BR39" s="162">
        <v>6</v>
      </c>
      <c r="BS39" s="206">
        <f t="shared" si="50"/>
        <v>0.10526315789473684</v>
      </c>
      <c r="BT39" s="122">
        <v>45</v>
      </c>
      <c r="BU39" s="122">
        <v>59</v>
      </c>
      <c r="BV39" s="177"/>
      <c r="BW39" s="179">
        <v>60</v>
      </c>
      <c r="BX39" s="38"/>
      <c r="BY39" s="41"/>
      <c r="BZ39" s="162">
        <v>3</v>
      </c>
      <c r="CA39" s="206">
        <f t="shared" si="51"/>
        <v>0.05</v>
      </c>
      <c r="CB39" s="122">
        <v>60</v>
      </c>
      <c r="CC39" s="162">
        <v>89</v>
      </c>
      <c r="CD39" s="177"/>
      <c r="CE39" s="181">
        <v>15</v>
      </c>
      <c r="CF39" s="177"/>
      <c r="CG39" s="184"/>
      <c r="CH39" s="162">
        <v>0</v>
      </c>
      <c r="CI39" s="247">
        <f t="shared" si="52"/>
        <v>0</v>
      </c>
      <c r="CJ39" s="50"/>
      <c r="CK39" s="50"/>
      <c r="CL39" s="50"/>
      <c r="CM39" s="51"/>
      <c r="CN39" s="50"/>
      <c r="CO39" s="51"/>
      <c r="CP39" s="50"/>
      <c r="CQ39" s="52"/>
      <c r="CR39" s="50"/>
      <c r="CS39" s="50"/>
      <c r="CT39" s="50"/>
      <c r="CU39" s="51"/>
      <c r="CV39" s="53"/>
      <c r="CW39" s="51"/>
      <c r="CX39" s="50"/>
      <c r="CY39" s="52"/>
      <c r="CZ39" s="54"/>
      <c r="DA39" s="54"/>
      <c r="DB39" s="54"/>
      <c r="DC39" s="55"/>
      <c r="DD39" s="54"/>
      <c r="DE39" s="55"/>
      <c r="DF39" s="54"/>
      <c r="DG39" s="56"/>
      <c r="DH39" s="54"/>
      <c r="DI39" s="54"/>
      <c r="DJ39" s="54"/>
      <c r="DK39" s="55"/>
      <c r="DL39" s="54"/>
      <c r="DM39" s="55"/>
      <c r="DN39" s="54"/>
      <c r="DO39" s="56"/>
    </row>
    <row r="40" spans="1:119" ht="49" x14ac:dyDescent="0.2">
      <c r="A40" s="114" t="s">
        <v>325</v>
      </c>
      <c r="B40" s="248" t="s">
        <v>219</v>
      </c>
      <c r="C40" s="208" t="s">
        <v>326</v>
      </c>
      <c r="D40" s="213" t="s">
        <v>317</v>
      </c>
      <c r="E40" s="29"/>
      <c r="F40" s="29"/>
      <c r="G40" s="29"/>
      <c r="H40" s="120" t="s">
        <v>143</v>
      </c>
      <c r="I40" s="120" t="s">
        <v>205</v>
      </c>
      <c r="J40" s="120" t="s">
        <v>327</v>
      </c>
      <c r="K40" s="121" t="s">
        <v>328</v>
      </c>
      <c r="L40" s="122">
        <v>1</v>
      </c>
      <c r="M40" s="218">
        <v>557</v>
      </c>
      <c r="N40" s="123">
        <v>355</v>
      </c>
      <c r="O40" s="32"/>
      <c r="P40" s="123">
        <v>355</v>
      </c>
      <c r="Q40" s="34"/>
      <c r="R40" s="168">
        <v>24</v>
      </c>
      <c r="S40" s="203"/>
      <c r="T40" s="126"/>
      <c r="U40" s="243">
        <f t="shared" si="53"/>
        <v>6.7605633802816895E-2</v>
      </c>
      <c r="V40" s="130" t="s">
        <v>336</v>
      </c>
      <c r="W40" s="131" t="s">
        <v>126</v>
      </c>
      <c r="X40" s="131" t="s">
        <v>330</v>
      </c>
      <c r="Y40" s="131" t="s">
        <v>126</v>
      </c>
      <c r="Z40" s="132"/>
      <c r="AA40" s="132" t="s">
        <v>128</v>
      </c>
      <c r="AB40" s="38"/>
      <c r="AC40" s="38"/>
      <c r="AD40" s="131" t="s">
        <v>126</v>
      </c>
      <c r="AE40" s="38"/>
      <c r="AF40" s="38"/>
      <c r="AG40" s="132" t="s">
        <v>128</v>
      </c>
      <c r="AH40" s="131" t="s">
        <v>128</v>
      </c>
      <c r="AI40" s="133"/>
      <c r="AJ40" s="133"/>
      <c r="AK40" s="205" t="s">
        <v>128</v>
      </c>
      <c r="AL40" s="244" t="s">
        <v>331</v>
      </c>
      <c r="AM40" s="67" t="s">
        <v>332</v>
      </c>
      <c r="AN40" s="122">
        <v>0</v>
      </c>
      <c r="AO40" s="122">
        <v>4</v>
      </c>
      <c r="AP40" s="38"/>
      <c r="AQ40" s="181">
        <v>27</v>
      </c>
      <c r="AR40" s="38"/>
      <c r="AS40" s="97"/>
      <c r="AT40" s="162">
        <v>1</v>
      </c>
      <c r="AU40" s="206">
        <f t="shared" si="47"/>
        <v>3.7037037037037035E-2</v>
      </c>
      <c r="AV40" s="122">
        <v>5</v>
      </c>
      <c r="AW40" s="122">
        <v>14</v>
      </c>
      <c r="AX40" s="38"/>
      <c r="AY40" s="181">
        <v>117</v>
      </c>
      <c r="AZ40" s="38"/>
      <c r="BA40" s="97"/>
      <c r="BB40" s="162">
        <v>9</v>
      </c>
      <c r="BC40" s="206">
        <f t="shared" si="48"/>
        <v>7.6923076923076927E-2</v>
      </c>
      <c r="BD40" s="140">
        <v>15</v>
      </c>
      <c r="BE40" s="140">
        <v>29</v>
      </c>
      <c r="BF40" s="38"/>
      <c r="BG40" s="109">
        <v>79</v>
      </c>
      <c r="BH40" s="38"/>
      <c r="BI40" s="97"/>
      <c r="BJ40" s="162">
        <v>7</v>
      </c>
      <c r="BK40" s="216">
        <f t="shared" si="49"/>
        <v>8.8607594936708861E-2</v>
      </c>
      <c r="BL40" s="137">
        <v>30</v>
      </c>
      <c r="BM40" s="122">
        <v>44</v>
      </c>
      <c r="BN40" s="47"/>
      <c r="BO40" s="179">
        <v>57</v>
      </c>
      <c r="BP40" s="47"/>
      <c r="BQ40" s="246"/>
      <c r="BR40" s="162">
        <v>4</v>
      </c>
      <c r="BS40" s="206">
        <f t="shared" si="50"/>
        <v>7.0175438596491224E-2</v>
      </c>
      <c r="BT40" s="122">
        <v>45</v>
      </c>
      <c r="BU40" s="122">
        <v>59</v>
      </c>
      <c r="BV40" s="177"/>
      <c r="BW40" s="179">
        <v>60</v>
      </c>
      <c r="BX40" s="38"/>
      <c r="BY40" s="41"/>
      <c r="BZ40" s="162">
        <v>2</v>
      </c>
      <c r="CA40" s="206">
        <f t="shared" si="51"/>
        <v>3.3333333333333333E-2</v>
      </c>
      <c r="CB40" s="122">
        <v>60</v>
      </c>
      <c r="CC40" s="162">
        <v>89</v>
      </c>
      <c r="CD40" s="177"/>
      <c r="CE40" s="181">
        <v>15</v>
      </c>
      <c r="CF40" s="177"/>
      <c r="CG40" s="184"/>
      <c r="CH40" s="162">
        <v>1</v>
      </c>
      <c r="CI40" s="247">
        <f t="shared" si="52"/>
        <v>6.6666666666666666E-2</v>
      </c>
      <c r="CJ40" s="50"/>
      <c r="CK40" s="50"/>
      <c r="CL40" s="50"/>
      <c r="CM40" s="51"/>
      <c r="CN40" s="50"/>
      <c r="CO40" s="51"/>
      <c r="CP40" s="50"/>
      <c r="CQ40" s="52"/>
      <c r="CR40" s="50"/>
      <c r="CS40" s="50"/>
      <c r="CT40" s="50"/>
      <c r="CU40" s="51"/>
      <c r="CV40" s="53"/>
      <c r="CW40" s="51"/>
      <c r="CX40" s="50"/>
      <c r="CY40" s="52"/>
      <c r="CZ40" s="54"/>
      <c r="DA40" s="54"/>
      <c r="DB40" s="54"/>
      <c r="DC40" s="55"/>
      <c r="DD40" s="54"/>
      <c r="DE40" s="55"/>
      <c r="DF40" s="54"/>
      <c r="DG40" s="56"/>
      <c r="DH40" s="54"/>
      <c r="DI40" s="54"/>
      <c r="DJ40" s="54"/>
      <c r="DK40" s="55"/>
      <c r="DL40" s="54"/>
      <c r="DM40" s="55"/>
      <c r="DN40" s="54"/>
      <c r="DO40" s="56"/>
    </row>
    <row r="41" spans="1:119" ht="85" x14ac:dyDescent="0.2">
      <c r="A41" s="198" t="s">
        <v>337</v>
      </c>
      <c r="B41" s="248" t="s">
        <v>160</v>
      </c>
      <c r="C41" s="195" t="s">
        <v>338</v>
      </c>
      <c r="D41" s="213" t="s">
        <v>339</v>
      </c>
      <c r="E41" s="249">
        <v>40603</v>
      </c>
      <c r="F41" s="249">
        <v>40603</v>
      </c>
      <c r="G41" s="29"/>
      <c r="H41" s="200" t="s">
        <v>340</v>
      </c>
      <c r="I41" s="120"/>
      <c r="J41" s="196" t="s">
        <v>341</v>
      </c>
      <c r="K41" s="121"/>
      <c r="L41" s="162">
        <v>3</v>
      </c>
      <c r="M41" s="188">
        <v>426</v>
      </c>
      <c r="N41" s="168">
        <v>426</v>
      </c>
      <c r="O41" s="32"/>
      <c r="P41" s="168">
        <v>396</v>
      </c>
      <c r="Q41" s="34"/>
      <c r="R41" s="168">
        <v>43</v>
      </c>
      <c r="S41" s="203"/>
      <c r="T41" s="126"/>
      <c r="U41" s="243">
        <f t="shared" si="53"/>
        <v>0.10858585858585859</v>
      </c>
      <c r="V41" s="130" t="s">
        <v>342</v>
      </c>
      <c r="W41" s="131" t="s">
        <v>126</v>
      </c>
      <c r="X41" s="131"/>
      <c r="Y41" s="131" t="s">
        <v>126</v>
      </c>
      <c r="Z41" s="132"/>
      <c r="AA41" s="131" t="s">
        <v>128</v>
      </c>
      <c r="AB41" s="38"/>
      <c r="AC41" s="38"/>
      <c r="AD41" s="131" t="s">
        <v>128</v>
      </c>
      <c r="AE41" s="38"/>
      <c r="AF41" s="38"/>
      <c r="AG41" s="131" t="s">
        <v>126</v>
      </c>
      <c r="AH41" s="131" t="s">
        <v>128</v>
      </c>
      <c r="AI41" s="133"/>
      <c r="AJ41" s="133"/>
      <c r="AK41" s="205" t="s">
        <v>126</v>
      </c>
      <c r="AL41" s="244" t="s">
        <v>343</v>
      </c>
      <c r="AM41" s="41"/>
      <c r="AN41" s="162">
        <v>2</v>
      </c>
      <c r="AO41" s="162">
        <v>15</v>
      </c>
      <c r="AP41" s="38"/>
      <c r="AQ41" s="181">
        <f>101+7</f>
        <v>108</v>
      </c>
      <c r="AR41" s="38"/>
      <c r="AS41" s="97"/>
      <c r="AT41" s="162">
        <v>7</v>
      </c>
      <c r="AU41" s="206">
        <f t="shared" si="47"/>
        <v>6.4814814814814811E-2</v>
      </c>
      <c r="AV41" s="162">
        <v>16</v>
      </c>
      <c r="AW41" s="162">
        <v>45</v>
      </c>
      <c r="AX41" s="38"/>
      <c r="AY41" s="181">
        <f>178+23</f>
        <v>201</v>
      </c>
      <c r="AZ41" s="38"/>
      <c r="BA41" s="101"/>
      <c r="BB41" s="139">
        <v>23</v>
      </c>
      <c r="BC41" s="206">
        <f t="shared" si="48"/>
        <v>0.11442786069651742</v>
      </c>
      <c r="BD41" s="44">
        <v>46</v>
      </c>
      <c r="BE41" s="44">
        <v>89</v>
      </c>
      <c r="BF41" s="38"/>
      <c r="BG41" s="109">
        <f>74+13</f>
        <v>87</v>
      </c>
      <c r="BH41" s="38"/>
      <c r="BI41" s="97"/>
      <c r="BJ41" s="162">
        <v>13</v>
      </c>
      <c r="BK41" s="216">
        <f t="shared" si="49"/>
        <v>0.14942528735632185</v>
      </c>
      <c r="BL41" s="50"/>
      <c r="BM41" s="50"/>
      <c r="BN41" s="50"/>
      <c r="BO41" s="51"/>
      <c r="BP41" s="50"/>
      <c r="BQ41" s="51"/>
      <c r="BR41" s="50"/>
      <c r="BS41" s="51"/>
      <c r="BT41" s="50"/>
      <c r="BU41" s="50"/>
      <c r="BV41" s="50"/>
      <c r="BW41" s="51"/>
      <c r="BX41" s="50"/>
      <c r="BY41" s="51"/>
      <c r="BZ41" s="50"/>
      <c r="CA41" s="51"/>
      <c r="CB41" s="50"/>
      <c r="CC41" s="50"/>
      <c r="CD41" s="50"/>
      <c r="CE41" s="51"/>
      <c r="CF41" s="50"/>
      <c r="CG41" s="51"/>
      <c r="CH41" s="50"/>
      <c r="CI41" s="52"/>
      <c r="CJ41" s="50"/>
      <c r="CK41" s="50"/>
      <c r="CL41" s="50"/>
      <c r="CM41" s="51"/>
      <c r="CN41" s="50"/>
      <c r="CO41" s="51"/>
      <c r="CP41" s="50"/>
      <c r="CQ41" s="52"/>
      <c r="CR41" s="50"/>
      <c r="CS41" s="50"/>
      <c r="CT41" s="50"/>
      <c r="CU41" s="51"/>
      <c r="CV41" s="53"/>
      <c r="CW41" s="51"/>
      <c r="CX41" s="50"/>
      <c r="CY41" s="52"/>
      <c r="CZ41" s="54"/>
      <c r="DA41" s="54"/>
      <c r="DB41" s="54"/>
      <c r="DC41" s="55"/>
      <c r="DD41" s="54"/>
      <c r="DE41" s="55"/>
      <c r="DF41" s="54"/>
      <c r="DG41" s="56"/>
      <c r="DH41" s="54"/>
      <c r="DI41" s="54"/>
      <c r="DJ41" s="54"/>
      <c r="DK41" s="55"/>
      <c r="DL41" s="54"/>
      <c r="DM41" s="55"/>
      <c r="DN41" s="54"/>
      <c r="DO41" s="56"/>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LLoyd Chapman</cp:lastModifiedBy>
  <dcterms:created xsi:type="dcterms:W3CDTF">2018-03-30T10:54:41Z</dcterms:created>
  <dcterms:modified xsi:type="dcterms:W3CDTF">2018-11-24T16:04:45Z</dcterms:modified>
</cp:coreProperties>
</file>