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19815" windowHeight="8130" activeTab="1"/>
  </bookViews>
  <sheets>
    <sheet name="News" sheetId="1" r:id="rId1"/>
    <sheet name="Calculator" sheetId="2" r:id="rId2"/>
  </sheets>
  <calcPr calcId="144525"/>
  <fileRecoveryPr repairLoad="1"/>
</workbook>
</file>

<file path=xl/calcChain.xml><?xml version="1.0" encoding="utf-8"?>
<calcChain xmlns="http://schemas.openxmlformats.org/spreadsheetml/2006/main">
  <c r="I19" i="2" l="1"/>
  <c r="H19" i="2"/>
  <c r="G19" i="2"/>
  <c r="F19" i="2"/>
  <c r="E19" i="2"/>
  <c r="D19" i="2"/>
  <c r="C19" i="2"/>
  <c r="B11" i="2"/>
  <c r="G18" i="2"/>
  <c r="C18" i="2"/>
  <c r="F18" i="2"/>
  <c r="B13" i="2"/>
  <c r="I18" i="2"/>
  <c r="E18" i="2"/>
  <c r="H18" i="2"/>
  <c r="D18" i="2"/>
  <c r="I20" i="2" l="1"/>
  <c r="H20" i="2"/>
  <c r="G20" i="2"/>
  <c r="F20" i="2"/>
  <c r="F23" i="2" s="1"/>
  <c r="E20" i="2"/>
  <c r="E23" i="2" s="1"/>
  <c r="D20" i="2"/>
  <c r="D23" i="2" s="1"/>
  <c r="G21" i="2"/>
  <c r="C20" i="2"/>
  <c r="G23" i="2"/>
  <c r="H21" i="2"/>
  <c r="H23" i="2"/>
  <c r="I21" i="2"/>
  <c r="I23" i="2"/>
  <c r="F21" i="2" l="1"/>
  <c r="E21" i="2"/>
  <c r="E24" i="2" s="1"/>
  <c r="D21" i="2"/>
  <c r="D24" i="2" s="1"/>
  <c r="C23" i="2"/>
  <c r="C21" i="2"/>
  <c r="G24" i="2"/>
  <c r="G30" i="2" s="1"/>
  <c r="I24" i="2"/>
  <c r="H24" i="2"/>
  <c r="F24" i="2"/>
  <c r="C24" i="2" l="1"/>
  <c r="C30" i="2" s="1"/>
  <c r="G29" i="2"/>
  <c r="G31" i="2"/>
  <c r="G26" i="2"/>
  <c r="F26" i="2"/>
  <c r="F29" i="2"/>
  <c r="F30" i="2"/>
  <c r="F31" i="2"/>
  <c r="D30" i="2"/>
  <c r="D31" i="2"/>
  <c r="D26" i="2"/>
  <c r="D29" i="2"/>
  <c r="H30" i="2"/>
  <c r="H31" i="2"/>
  <c r="H26" i="2"/>
  <c r="H29" i="2"/>
  <c r="I31" i="2"/>
  <c r="I26" i="2"/>
  <c r="I29" i="2"/>
  <c r="I30" i="2"/>
  <c r="E31" i="2"/>
  <c r="E26" i="2"/>
  <c r="E29" i="2"/>
  <c r="E30" i="2"/>
  <c r="C29" i="2" l="1"/>
  <c r="C31" i="2"/>
</calcChain>
</file>

<file path=xl/comments1.xml><?xml version="1.0" encoding="utf-8"?>
<comments xmlns="http://schemas.openxmlformats.org/spreadsheetml/2006/main">
  <authors>
    <author/>
  </authors>
  <commentList>
    <comment ref="C17" authorId="0">
      <text>
        <r>
          <rPr>
            <sz val="10"/>
            <color rgb="FF000000"/>
            <rFont val="Arial"/>
          </rPr>
          <t>Part of LoRa, but not used in LoRaWAN</t>
        </r>
      </text>
    </comment>
    <comment ref="A25" authorId="0">
      <text>
        <r>
          <rPr>
            <sz val="10"/>
            <color rgb="FF000000"/>
            <rFont val="Arial"/>
          </rPr>
          <t>https://forum.thethingsnetwork.org/t/limitations-data-rate-packet-size-30-seconds-day-fair-access-policy-nodes-per-gateway/1300</t>
        </r>
      </text>
    </comment>
  </commentList>
</comments>
</file>

<file path=xl/sharedStrings.xml><?xml version="1.0" encoding="utf-8"?>
<sst xmlns="http://schemas.openxmlformats.org/spreadsheetml/2006/main" count="66" uniqueCount="62">
  <si>
    <t>Soon, an (improved) online version will be ready, so keep an eye on updates in this file.</t>
  </si>
  <si>
    <t>(Of course, your local copy won't be updated...)</t>
  </si>
  <si>
    <t>See the preview, which still needs a lot of love for the UI, and above all needs more regions:</t>
  </si>
  <si>
    <t>https://avbentem.github.io/lorawan-airtime-ui</t>
  </si>
  <si>
    <t>For now, see the sheet "Calculator" for the old version.</t>
  </si>
  <si>
    <t>Formulas taken from Semtech's AN1200.13 (LoRa Modem Designer's Guide)</t>
  </si>
  <si>
    <t>https://www.semtech.com/uploads/documents/LoraDesignGuide_STD.pdf#page=7</t>
  </si>
  <si>
    <t>No warranty of correctness!</t>
  </si>
  <si>
    <t>Please do not request write access.</t>
  </si>
  <si>
    <r>
      <t xml:space="preserve">Instead, to allow for changing the input values, use menu </t>
    </r>
    <r>
      <rPr>
        <i/>
        <sz val="10"/>
        <rFont val="Arial"/>
      </rPr>
      <t>File » Download as</t>
    </r>
    <r>
      <rPr>
        <sz val="10"/>
        <color rgb="FF000000"/>
        <rFont val="Arial"/>
      </rPr>
      <t xml:space="preserve">, or sign in with a Google account and save a copy of this sheet using menu </t>
    </r>
    <r>
      <rPr>
        <i/>
        <sz val="10"/>
        <rFont val="Arial"/>
      </rPr>
      <t>File » Make a copy</t>
    </r>
    <r>
      <rPr>
        <sz val="10"/>
        <color rgb="FF000000"/>
        <rFont val="Arial"/>
      </rPr>
      <t>.</t>
    </r>
  </si>
  <si>
    <t>See also the "News" tab!</t>
  </si>
  <si>
    <t>Input</t>
  </si>
  <si>
    <t>Application payload size</t>
  </si>
  <si>
    <t>For LoRaWAN: maximum around 51 for low data rates (SF12), up to about 222 bytes for best conditions (SF7).</t>
  </si>
  <si>
    <t>LoRaWAN header size</t>
  </si>
  <si>
    <t>For LoRaWAN: at least 13 bytes for header for regular uplinks, or a total of 23 bytes for a Join Request without any application payload</t>
  </si>
  <si>
    <t>Explicit header</t>
  </si>
  <si>
    <t>yes</t>
  </si>
  <si>
    <t>Yes for LoRaWAN: this is the low-level header that indicates coding rate, payload length and payload CRC presence. In plain LoRa it can be left out if both sides have these parameters fixed.</t>
  </si>
  <si>
    <t>Low DR optimize</t>
  </si>
  <si>
    <t>See row 16</t>
  </si>
  <si>
    <t>auto</t>
  </si>
  <si>
    <t>Auto for LoRaWAN: correct for clock drift at low data rates; auto = enable for SF11..12 on 125kHz only, yes = enable for all.</t>
  </si>
  <si>
    <t>Coding rate</t>
  </si>
  <si>
    <t>4 / 5</t>
  </si>
  <si>
    <t>4/5 - 4/8. This is the error correction coding. Higher values mean more overhead.</t>
  </si>
  <si>
    <t>Preamble symbols</t>
  </si>
  <si>
    <t>8 for all regions defined in LoRaWAN 1.0, can be different using plain LoRa.</t>
  </si>
  <si>
    <t xml:space="preserve">  </t>
  </si>
  <si>
    <t>Bandwidth</t>
  </si>
  <si>
    <t>Typically 125, sometimes 250 or 500</t>
  </si>
  <si>
    <t>Output</t>
  </si>
  <si>
    <t>SF6</t>
  </si>
  <si>
    <t>SF7</t>
  </si>
  <si>
    <t>SF8</t>
  </si>
  <si>
    <t>SF9</t>
  </si>
  <si>
    <t>SF10</t>
  </si>
  <si>
    <t>SF11</t>
  </si>
  <si>
    <t>SF12</t>
  </si>
  <si>
    <t>spreading factor; higher means more range and better reception, but also more airtime</t>
  </si>
  <si>
    <t>SF</t>
  </si>
  <si>
    <t>DE, see http://forum.thethingsnetwork.org/t/spreadsheet-for-lora-airtime-calculation/1190/15</t>
  </si>
  <si>
    <t>Tsym</t>
  </si>
  <si>
    <t>ms</t>
  </si>
  <si>
    <t>Tpreamble</t>
  </si>
  <si>
    <t>payloadSymbNb</t>
  </si>
  <si>
    <t>number of symbols</t>
  </si>
  <si>
    <t>Tpayload</t>
  </si>
  <si>
    <t>Tpacket</t>
  </si>
  <si>
    <t>ms total airtime to send the full packet</t>
  </si>
  <si>
    <t>TTN Fair Access Policy</t>
  </si>
  <si>
    <t>average messages/day for maximum of 30 seconds airtime on The Things Network</t>
  </si>
  <si>
    <t>average messages/hour when sending all day</t>
  </si>
  <si>
    <t>Duty cycle</t>
  </si>
  <si>
    <r>
      <t xml:space="preserve">Time between packet subsequent starts </t>
    </r>
    <r>
      <rPr>
        <i/>
        <sz val="10"/>
        <rFont val="Arial"/>
      </rPr>
      <t>in the same subband</t>
    </r>
  </si>
  <si>
    <t>s</t>
  </si>
  <si>
    <t>For discussion see:</t>
  </si>
  <si>
    <t>https://forum.thethingsnetwork.org/t/spreadsheet-for-lora-airtime-calculation/1190</t>
  </si>
  <si>
    <t>For duty cycle see:</t>
  </si>
  <si>
    <t>https://www.thethingsnetwork.org/forum/t/duty-cycle-time-on-air/122/27</t>
  </si>
  <si>
    <t>For fair access policy see:</t>
  </si>
  <si>
    <t>https://forum.thethingsnetwork.org/t/limitations-data-rate-packet-size-30-seconds-day-fair-access-policy-nodes-per-gateway/1300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</si>
</sst>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0&quot; bytes&quot;"/>
    <numFmt numFmtId="166" formatCode="0&quot;kHz&quot;"/>
    <numFmt numFmtId="167" formatCode="0.0"/>
    <numFmt numFmtId="168" formatCode="0.000"/>
  </numFmts>
  <fonts count="15">
    <font>
      <sz val="10"/>
      <color rgb="FF000000"/>
      <name val="Arial"/>
    </font>
    <font>
      <sz val="10"/>
      <name val="Arial"/>
    </font>
    <font>
      <sz val="14"/>
      <name val="Arial"/>
    </font>
    <font>
      <u/>
      <sz val="14"/>
      <color rgb="FF000000"/>
      <name val="Roboto"/>
    </font>
    <font>
      <u/>
      <sz val="10"/>
      <color rgb="FF0000FF"/>
      <name val="Arial"/>
    </font>
    <font>
      <b/>
      <sz val="18"/>
      <color rgb="FFFF0000"/>
      <name val="Arial"/>
    </font>
    <font>
      <b/>
      <sz val="1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b/>
      <sz val="10"/>
      <color rgb="FFF2F2F2"/>
      <name val="Arial"/>
    </font>
    <font>
      <sz val="10"/>
      <color rgb="FFF2F2F2"/>
      <name val="Arial"/>
    </font>
    <font>
      <b/>
      <sz val="10"/>
      <color rgb="FFB7B7B7"/>
      <name val="Arial"/>
    </font>
    <font>
      <sz val="10"/>
      <color rgb="FFB7B7B7"/>
      <name val="Arial"/>
    </font>
    <font>
      <u/>
      <sz val="10"/>
      <color rgb="FF0000FF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3" fillId="2" borderId="0" xfId="0" applyFont="1" applyFill="1" applyAlignment="1"/>
    <xf numFmtId="0" fontId="2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right"/>
    </xf>
    <xf numFmtId="167" fontId="12" fillId="0" borderId="0" xfId="0" applyNumberFormat="1" applyFont="1" applyAlignment="1"/>
    <xf numFmtId="167" fontId="8" fillId="0" borderId="0" xfId="0" applyNumberFormat="1" applyFont="1" applyAlignment="1"/>
    <xf numFmtId="10" fontId="1" fillId="0" borderId="0" xfId="0" applyNumberFormat="1" applyFont="1" applyAlignment="1"/>
    <xf numFmtId="168" fontId="12" fillId="0" borderId="0" xfId="0" applyNumberFormat="1" applyFont="1"/>
    <xf numFmtId="168" fontId="1" fillId="0" borderId="0" xfId="0" applyNumberFormat="1" applyFont="1"/>
    <xf numFmtId="9" fontId="1" fillId="0" borderId="0" xfId="0" applyNumberFormat="1" applyFont="1" applyAlignment="1"/>
    <xf numFmtId="0" fontId="1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vbentem.github.io/lorawan-airtime-u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thingsnetwork.org/forum/t/duty-cycle-time-on-air/122/27" TargetMode="External"/><Relationship Id="rId2" Type="http://schemas.openxmlformats.org/officeDocument/2006/relationships/hyperlink" Target="https://forum.thethingsnetwork.org/t/spreadsheet-for-lora-airtime-calculation/1190" TargetMode="External"/><Relationship Id="rId1" Type="http://schemas.openxmlformats.org/officeDocument/2006/relationships/hyperlink" Target="https://www.semtech.com/uploads/documents/LoraDesignGuide_STD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forum.thethingsnetwork.org/t/limitations-data-rate-packet-size-30-seconds-day-fair-access-policy-nodes-per-gateway/1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2"/>
  <sheetViews>
    <sheetView workbookViewId="0"/>
  </sheetViews>
  <sheetFormatPr defaultColWidth="14.42578125" defaultRowHeight="15.75" customHeight="1"/>
  <sheetData>
    <row r="2" spans="1:9" ht="15.75" customHeight="1">
      <c r="A2" s="1">
        <v>43544</v>
      </c>
      <c r="B2" s="2" t="s">
        <v>0</v>
      </c>
    </row>
    <row r="3" spans="1:9" ht="15.75" customHeight="1">
      <c r="B3" s="2" t="s">
        <v>1</v>
      </c>
    </row>
    <row r="4" spans="1:9" ht="15.75" customHeight="1">
      <c r="B4" s="2"/>
    </row>
    <row r="5" spans="1:9">
      <c r="A5" s="3">
        <v>43545</v>
      </c>
      <c r="B5" s="4" t="s">
        <v>2</v>
      </c>
      <c r="C5" s="5"/>
      <c r="D5" s="5"/>
      <c r="E5" s="5"/>
      <c r="F5" s="5"/>
      <c r="G5" s="5"/>
      <c r="H5" s="5"/>
      <c r="I5" s="5"/>
    </row>
    <row r="6" spans="1:9">
      <c r="A6" s="5"/>
      <c r="B6" s="6" t="s">
        <v>3</v>
      </c>
      <c r="C6" s="5"/>
      <c r="D6" s="5"/>
      <c r="E6" s="5"/>
      <c r="F6" s="5"/>
      <c r="G6" s="5"/>
      <c r="H6" s="5"/>
      <c r="I6" s="5"/>
    </row>
    <row r="7" spans="1:9" ht="15.75" customHeight="1">
      <c r="B7" s="2"/>
    </row>
    <row r="8" spans="1:9" ht="15.75" customHeight="1">
      <c r="B8" s="2" t="s">
        <v>4</v>
      </c>
    </row>
    <row r="12" spans="1:9">
      <c r="D12" s="7"/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35"/>
  <sheetViews>
    <sheetView tabSelected="1" topLeftCell="A21" workbookViewId="0">
      <selection activeCell="E30" sqref="E30"/>
    </sheetView>
  </sheetViews>
  <sheetFormatPr defaultColWidth="14.42578125" defaultRowHeight="15.75" customHeight="1"/>
  <cols>
    <col min="1" max="1" width="23.5703125" customWidth="1"/>
    <col min="2" max="2" width="30.7109375" customWidth="1"/>
    <col min="3" max="3" width="10.7109375" customWidth="1"/>
    <col min="4" max="9" width="10" customWidth="1"/>
  </cols>
  <sheetData>
    <row r="1" spans="1:27" ht="15.75" customHeight="1">
      <c r="A1" s="2" t="s">
        <v>5</v>
      </c>
      <c r="B1" s="2"/>
      <c r="C1" s="2"/>
    </row>
    <row r="2" spans="1:27" ht="15.75" customHeight="1">
      <c r="A2" s="8" t="s">
        <v>6</v>
      </c>
      <c r="B2" s="2"/>
      <c r="C2" s="2"/>
    </row>
    <row r="3" spans="1:27" ht="15.75" customHeight="1">
      <c r="A3" s="2" t="s">
        <v>7</v>
      </c>
      <c r="B3" s="2"/>
      <c r="C3" s="2"/>
    </row>
    <row r="4" spans="1:27" ht="15.75" customHeight="1">
      <c r="A4" s="9" t="s">
        <v>8</v>
      </c>
      <c r="B4" s="10"/>
      <c r="C4" s="11"/>
      <c r="D4" s="5"/>
      <c r="E4" s="5"/>
      <c r="F4" s="5"/>
      <c r="G4" s="5"/>
      <c r="H4" s="5"/>
    </row>
    <row r="5" spans="1:27" ht="15.75" customHeight="1">
      <c r="A5" s="12" t="s">
        <v>9</v>
      </c>
      <c r="B5" s="13"/>
      <c r="C5" s="2"/>
    </row>
    <row r="6" spans="1:27" ht="15.75" customHeight="1">
      <c r="A6" s="14" t="s">
        <v>10</v>
      </c>
      <c r="B6" s="15"/>
      <c r="C6" s="16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customHeight="1">
      <c r="A7" s="13"/>
      <c r="B7" s="13"/>
      <c r="C7" s="2"/>
    </row>
    <row r="8" spans="1:27" ht="15.75" customHeight="1">
      <c r="A8" s="19" t="s">
        <v>11</v>
      </c>
      <c r="B8" s="13"/>
      <c r="C8" s="2"/>
    </row>
    <row r="9" spans="1:27" ht="15.75" customHeight="1">
      <c r="A9" s="20" t="s">
        <v>12</v>
      </c>
      <c r="B9" s="19"/>
      <c r="C9" s="21">
        <v>10</v>
      </c>
      <c r="D9" s="2" t="s">
        <v>13</v>
      </c>
    </row>
    <row r="10" spans="1:27" ht="15.75" customHeight="1">
      <c r="A10" s="22" t="s">
        <v>14</v>
      </c>
      <c r="B10" s="2"/>
      <c r="C10" s="23">
        <v>13</v>
      </c>
      <c r="D10" s="2" t="s">
        <v>15</v>
      </c>
    </row>
    <row r="11" spans="1:27" ht="15.75" customHeight="1">
      <c r="A11" s="22" t="s">
        <v>16</v>
      </c>
      <c r="B11" s="2">
        <f>IF(C11="yes",1,0)</f>
        <v>1</v>
      </c>
      <c r="C11" s="22" t="s">
        <v>17</v>
      </c>
      <c r="D11" s="2" t="s">
        <v>18</v>
      </c>
    </row>
    <row r="12" spans="1:27" ht="15.75" customHeight="1">
      <c r="A12" s="22" t="s">
        <v>19</v>
      </c>
      <c r="B12" s="2" t="s">
        <v>20</v>
      </c>
      <c r="C12" s="22" t="s">
        <v>21</v>
      </c>
      <c r="D12" s="2" t="s">
        <v>22</v>
      </c>
    </row>
    <row r="13" spans="1:27" ht="15.75" customHeight="1">
      <c r="A13" s="22" t="s">
        <v>23</v>
      </c>
      <c r="B13" s="2" t="str">
        <f ca="1">IFERROR(__xludf.DUMMYFUNCTION("regexreplace(C13,""^4 / "","""")"),"5")</f>
        <v>5</v>
      </c>
      <c r="C13" s="22" t="s">
        <v>24</v>
      </c>
      <c r="D13" s="2" t="s">
        <v>25</v>
      </c>
    </row>
    <row r="14" spans="1:27" ht="15.75" customHeight="1">
      <c r="A14" s="22" t="s">
        <v>26</v>
      </c>
      <c r="B14" s="2"/>
      <c r="C14" s="22">
        <v>8</v>
      </c>
      <c r="D14" s="2" t="s">
        <v>27</v>
      </c>
      <c r="F14" s="2" t="s">
        <v>28</v>
      </c>
    </row>
    <row r="15" spans="1:27" ht="15.75" customHeight="1">
      <c r="A15" s="22" t="s">
        <v>29</v>
      </c>
      <c r="B15" s="2"/>
      <c r="C15" s="24">
        <v>125</v>
      </c>
      <c r="D15" s="2" t="s">
        <v>30</v>
      </c>
      <c r="E15" s="2"/>
    </row>
    <row r="17" spans="1:10" ht="15.75" customHeight="1">
      <c r="A17" s="19" t="s">
        <v>31</v>
      </c>
      <c r="B17" s="13"/>
      <c r="C17" s="25" t="s">
        <v>32</v>
      </c>
      <c r="D17" s="20" t="s">
        <v>33</v>
      </c>
      <c r="E17" s="20" t="s">
        <v>34</v>
      </c>
      <c r="F17" s="20" t="s">
        <v>35</v>
      </c>
      <c r="G17" s="20" t="s">
        <v>36</v>
      </c>
      <c r="H17" s="20" t="s">
        <v>37</v>
      </c>
      <c r="I17" s="20" t="s">
        <v>38</v>
      </c>
      <c r="J17" s="19" t="s">
        <v>39</v>
      </c>
    </row>
    <row r="18" spans="1:10" ht="15.75" customHeight="1">
      <c r="A18" s="2" t="s">
        <v>40</v>
      </c>
      <c r="C18" s="26" t="str">
        <f ca="1">IFERROR(__xludf.DUMMYFUNCTION("regexreplace(C17,""^SF"","""")"),"6")</f>
        <v>6</v>
      </c>
      <c r="D18" t="str">
        <f ca="1">IFERROR(__xludf.DUMMYFUNCTION("regexreplace(D17,""^SF"","""")"),"7")</f>
        <v>7</v>
      </c>
      <c r="E18" t="str">
        <f ca="1">IFERROR(__xludf.DUMMYFUNCTION("regexreplace(E17,""^SF"","""")"),"8")</f>
        <v>8</v>
      </c>
      <c r="F18" t="str">
        <f ca="1">IFERROR(__xludf.DUMMYFUNCTION("regexreplace(F17,""^SF"","""")"),"9")</f>
        <v>9</v>
      </c>
      <c r="G18" t="str">
        <f ca="1">IFERROR(__xludf.DUMMYFUNCTION("regexreplace(G17,""^SF"","""")"),"10")</f>
        <v>10</v>
      </c>
      <c r="H18" t="str">
        <f ca="1">IFERROR(__xludf.DUMMYFUNCTION("regexreplace(H17,""^SF"","""")"),"11")</f>
        <v>11</v>
      </c>
      <c r="I18" t="str">
        <f ca="1">IFERROR(__xludf.DUMMYFUNCTION("regexreplace(I17,""^SF"","""")"),"12")</f>
        <v>12</v>
      </c>
      <c r="J18" s="2"/>
    </row>
    <row r="19" spans="1:10" ht="15.75" customHeight="1">
      <c r="A19" s="2" t="s">
        <v>41</v>
      </c>
      <c r="C19" s="26">
        <f t="shared" ref="C19:G19" si="0">IF(AND($C$12="auto", $C$15=125),0,IF($C$12="yes",1,0))</f>
        <v>0</v>
      </c>
      <c r="D19" s="26">
        <f t="shared" si="0"/>
        <v>0</v>
      </c>
      <c r="E19" s="26">
        <f t="shared" si="0"/>
        <v>0</v>
      </c>
      <c r="F19" s="26">
        <f t="shared" si="0"/>
        <v>0</v>
      </c>
      <c r="G19" s="26">
        <f t="shared" si="0"/>
        <v>0</v>
      </c>
      <c r="H19" s="26">
        <f t="shared" ref="H19:I19" si="1">IF(AND($C$12="auto", $C$15=125),1,IF($C$12="yes",1,0))</f>
        <v>1</v>
      </c>
      <c r="I19" s="26">
        <f t="shared" si="1"/>
        <v>1</v>
      </c>
      <c r="J19" s="2"/>
    </row>
    <row r="20" spans="1:10" ht="12.75">
      <c r="A20" s="22" t="s">
        <v>42</v>
      </c>
      <c r="B20" s="2"/>
      <c r="C20" s="26">
        <f ca="1">POWER(2, J11*C18) / ($C$15)</f>
        <v>8.0000000000000002E-3</v>
      </c>
      <c r="D20" s="26">
        <f ca="1">POWER(2, D18) / ($C$15 * 1000) * 1000</f>
        <v>1.024</v>
      </c>
      <c r="E20" s="26">
        <f ca="1">POWER(2, E18) / ($C$15 * 1000) * 1000</f>
        <v>2.048</v>
      </c>
      <c r="F20" s="26">
        <f ca="1">POWER(2, F18) / ($C$15 * 1000) * 1000</f>
        <v>4.0960000000000001</v>
      </c>
      <c r="G20" s="26">
        <f ca="1">POWER(2, G18) / ($C$15 * 1000) * 1000</f>
        <v>8.1920000000000002</v>
      </c>
      <c r="H20" s="26">
        <f ca="1">POWER(2, H18) / ($C$15 * 1000) * 1000</f>
        <v>16.384</v>
      </c>
      <c r="I20" s="26">
        <f ca="1">POWER(2, I18) / ($C$15 * 1000) * 1000</f>
        <v>32.768000000000001</v>
      </c>
      <c r="J20" s="27" t="s">
        <v>43</v>
      </c>
    </row>
    <row r="21" spans="1:10" ht="12.75">
      <c r="A21" s="22" t="s">
        <v>44</v>
      </c>
      <c r="B21" s="2"/>
      <c r="C21" s="26">
        <f t="shared" ref="C21:I21" ca="1" si="2">($C$14+4.25)*C20</f>
        <v>9.8000000000000004E-2</v>
      </c>
      <c r="D21" s="26">
        <f t="shared" ca="1" si="2"/>
        <v>12.544</v>
      </c>
      <c r="E21" s="26">
        <f t="shared" ca="1" si="2"/>
        <v>25.088000000000001</v>
      </c>
      <c r="F21" s="26">
        <f t="shared" ca="1" si="2"/>
        <v>50.176000000000002</v>
      </c>
      <c r="G21" s="26">
        <f t="shared" ca="1" si="2"/>
        <v>100.352</v>
      </c>
      <c r="H21" s="26">
        <f t="shared" ca="1" si="2"/>
        <v>200.70400000000001</v>
      </c>
      <c r="I21" s="26">
        <f t="shared" ca="1" si="2"/>
        <v>401.40800000000002</v>
      </c>
      <c r="J21" s="27" t="s">
        <v>43</v>
      </c>
    </row>
    <row r="22" spans="1:10" ht="12.75">
      <c r="A22" s="22" t="s">
        <v>45</v>
      </c>
      <c r="B22" s="2"/>
      <c r="C22" s="26">
        <v>53</v>
      </c>
      <c r="D22" s="26">
        <v>48</v>
      </c>
      <c r="E22" s="26">
        <v>43</v>
      </c>
      <c r="F22" s="26">
        <v>38</v>
      </c>
      <c r="G22" s="26">
        <v>33</v>
      </c>
      <c r="H22" s="26">
        <v>38</v>
      </c>
      <c r="I22" s="26">
        <v>33</v>
      </c>
      <c r="J22" s="27" t="s">
        <v>46</v>
      </c>
    </row>
    <row r="23" spans="1:10" ht="12.75">
      <c r="A23" s="22" t="s">
        <v>47</v>
      </c>
      <c r="B23" s="2"/>
      <c r="C23" s="26">
        <f t="shared" ref="C23:I23" ca="1" si="3">C22*C20</f>
        <v>0.42399999999999999</v>
      </c>
      <c r="D23" s="26">
        <f t="shared" ca="1" si="3"/>
        <v>49.152000000000001</v>
      </c>
      <c r="E23" s="26">
        <f t="shared" ca="1" si="3"/>
        <v>88.064000000000007</v>
      </c>
      <c r="F23" s="26">
        <f t="shared" ca="1" si="3"/>
        <v>155.648</v>
      </c>
      <c r="G23" s="26">
        <f t="shared" ca="1" si="3"/>
        <v>270.33600000000001</v>
      </c>
      <c r="H23" s="26">
        <f t="shared" ca="1" si="3"/>
        <v>622.59199999999998</v>
      </c>
      <c r="I23" s="26">
        <f t="shared" ca="1" si="3"/>
        <v>1081.3440000000001</v>
      </c>
      <c r="J23" s="27" t="s">
        <v>43</v>
      </c>
    </row>
    <row r="24" spans="1:10" ht="12.75">
      <c r="A24" s="20" t="s">
        <v>48</v>
      </c>
      <c r="B24" s="2"/>
      <c r="C24" s="26">
        <f t="shared" ref="C24:I24" ca="1" si="4">C21+C23</f>
        <v>0.52200000000000002</v>
      </c>
      <c r="D24" s="28">
        <f t="shared" ca="1" si="4"/>
        <v>61.695999999999998</v>
      </c>
      <c r="E24" s="28">
        <f t="shared" ca="1" si="4"/>
        <v>113.15200000000002</v>
      </c>
      <c r="F24" s="28">
        <f t="shared" ca="1" si="4"/>
        <v>205.82400000000001</v>
      </c>
      <c r="G24" s="28">
        <f t="shared" ca="1" si="4"/>
        <v>370.68799999999999</v>
      </c>
      <c r="H24" s="28">
        <f t="shared" ca="1" si="4"/>
        <v>823.29600000000005</v>
      </c>
      <c r="I24" s="28">
        <f t="shared" ca="1" si="4"/>
        <v>1482.752</v>
      </c>
      <c r="J24" s="29" t="s">
        <v>49</v>
      </c>
    </row>
    <row r="25" spans="1:10" ht="12.75">
      <c r="A25" s="20" t="s">
        <v>50</v>
      </c>
      <c r="C25" s="27"/>
      <c r="D25" s="19">
        <v>486</v>
      </c>
      <c r="E25" s="19">
        <v>265</v>
      </c>
      <c r="F25" s="19">
        <v>145</v>
      </c>
      <c r="G25" s="19">
        <v>80</v>
      </c>
      <c r="H25" s="19">
        <v>36</v>
      </c>
      <c r="I25" s="19">
        <v>20</v>
      </c>
      <c r="J25" s="29" t="s">
        <v>51</v>
      </c>
    </row>
    <row r="26" spans="1:10" ht="12.75">
      <c r="A26" s="30"/>
      <c r="B26" s="13"/>
      <c r="C26" s="31"/>
      <c r="D26" s="32">
        <f t="shared" ref="D26:I26" ca="1" si="5">30000/24/D24</f>
        <v>20.26063278008299</v>
      </c>
      <c r="E26" s="32">
        <f t="shared" ca="1" si="5"/>
        <v>11.047087104072396</v>
      </c>
      <c r="F26" s="32">
        <f t="shared" ca="1" si="5"/>
        <v>6.0731498756218905</v>
      </c>
      <c r="G26" s="32">
        <f t="shared" ca="1" si="5"/>
        <v>3.3721080801104972</v>
      </c>
      <c r="H26" s="32">
        <f t="shared" ca="1" si="5"/>
        <v>1.5182874689054726</v>
      </c>
      <c r="I26" s="32">
        <f t="shared" ca="1" si="5"/>
        <v>0.84302702002762431</v>
      </c>
      <c r="J26" s="19" t="s">
        <v>52</v>
      </c>
    </row>
    <row r="27" spans="1:10" ht="12.75">
      <c r="A27" s="13"/>
      <c r="B27" s="13"/>
      <c r="C27" s="13"/>
      <c r="D27" s="13"/>
      <c r="E27" s="13"/>
      <c r="F27" s="13"/>
      <c r="G27" s="13"/>
      <c r="H27" s="13"/>
      <c r="I27" s="13"/>
    </row>
    <row r="28" spans="1:10" ht="12.75">
      <c r="A28" s="13" t="s">
        <v>53</v>
      </c>
      <c r="B28" s="13"/>
      <c r="C28" s="13" t="s">
        <v>54</v>
      </c>
      <c r="D28" s="13"/>
      <c r="E28" s="13"/>
      <c r="F28" s="13"/>
      <c r="G28" s="13"/>
      <c r="H28" s="13"/>
    </row>
    <row r="29" spans="1:10" ht="12.75">
      <c r="A29" s="33">
        <v>1E-3</v>
      </c>
      <c r="B29" s="33"/>
      <c r="C29" s="34">
        <f t="shared" ref="C29:I29" ca="1" si="6">C24/$A29/1000</f>
        <v>0.52200000000000002</v>
      </c>
      <c r="D29" s="35">
        <f t="shared" ca="1" si="6"/>
        <v>61.695999999999998</v>
      </c>
      <c r="E29" s="35">
        <f t="shared" ca="1" si="6"/>
        <v>113.15200000000002</v>
      </c>
      <c r="F29" s="35">
        <f t="shared" ca="1" si="6"/>
        <v>205.82400000000001</v>
      </c>
      <c r="G29" s="35">
        <f t="shared" ca="1" si="6"/>
        <v>370.68799999999999</v>
      </c>
      <c r="H29" s="35">
        <f t="shared" ca="1" si="6"/>
        <v>823.29600000000005</v>
      </c>
      <c r="I29" s="35">
        <f t="shared" ca="1" si="6"/>
        <v>1482.752</v>
      </c>
      <c r="J29" s="2" t="s">
        <v>55</v>
      </c>
    </row>
    <row r="30" spans="1:10" ht="12.75">
      <c r="A30" s="36">
        <v>0.01</v>
      </c>
      <c r="B30" s="36"/>
      <c r="C30" s="34">
        <f t="shared" ref="C30:I30" ca="1" si="7">C24/$A30/1000</f>
        <v>5.2200000000000003E-2</v>
      </c>
      <c r="D30" s="35">
        <f t="shared" ca="1" si="7"/>
        <v>6.1695999999999991</v>
      </c>
      <c r="E30" s="35">
        <f t="shared" ca="1" si="7"/>
        <v>11.315200000000001</v>
      </c>
      <c r="F30" s="35">
        <f t="shared" ca="1" si="7"/>
        <v>20.5824</v>
      </c>
      <c r="G30" s="35">
        <f t="shared" ca="1" si="7"/>
        <v>37.068799999999996</v>
      </c>
      <c r="H30" s="35">
        <f t="shared" ca="1" si="7"/>
        <v>82.329599999999999</v>
      </c>
      <c r="I30" s="35">
        <f t="shared" ca="1" si="7"/>
        <v>148.27519999999998</v>
      </c>
      <c r="J30" s="2" t="s">
        <v>55</v>
      </c>
    </row>
    <row r="31" spans="1:10" ht="12.75">
      <c r="A31" s="36">
        <v>0.1</v>
      </c>
      <c r="B31" s="36"/>
      <c r="C31" s="34">
        <f t="shared" ref="C31:I31" ca="1" si="8">C24/$A31/1000</f>
        <v>5.2199999999999998E-3</v>
      </c>
      <c r="D31" s="35">
        <f t="shared" ca="1" si="8"/>
        <v>0.61695999999999995</v>
      </c>
      <c r="E31" s="35">
        <f t="shared" ca="1" si="8"/>
        <v>1.1315200000000001</v>
      </c>
      <c r="F31" s="35">
        <f t="shared" ca="1" si="8"/>
        <v>2.0582399999999996</v>
      </c>
      <c r="G31" s="35">
        <f t="shared" ca="1" si="8"/>
        <v>3.7068799999999995</v>
      </c>
      <c r="H31" s="35">
        <f t="shared" ca="1" si="8"/>
        <v>8.2329599999999985</v>
      </c>
      <c r="I31" s="35">
        <f t="shared" ca="1" si="8"/>
        <v>14.827519999999998</v>
      </c>
      <c r="J31" s="37" t="s">
        <v>55</v>
      </c>
    </row>
    <row r="33" spans="1:3" ht="12.75">
      <c r="A33" s="2" t="s">
        <v>56</v>
      </c>
      <c r="B33" s="2"/>
      <c r="C33" s="8" t="s">
        <v>57</v>
      </c>
    </row>
    <row r="34" spans="1:3" ht="12.75">
      <c r="A34" s="2" t="s">
        <v>58</v>
      </c>
      <c r="C34" s="38" t="s">
        <v>59</v>
      </c>
    </row>
    <row r="35" spans="1:3" ht="12.75">
      <c r="A35" s="2" t="s">
        <v>60</v>
      </c>
      <c r="C35" s="8" t="s">
        <v>61</v>
      </c>
    </row>
  </sheetData>
  <conditionalFormatting sqref="C10">
    <cfRule type="cellIs" dxfId="3" priority="1" operator="notEqual">
      <formula>13</formula>
    </cfRule>
  </conditionalFormatting>
  <conditionalFormatting sqref="C11">
    <cfRule type="cellIs" dxfId="2" priority="2" operator="notEqual">
      <formula>"yes"</formula>
    </cfRule>
  </conditionalFormatting>
  <conditionalFormatting sqref="C12">
    <cfRule type="cellIs" dxfId="1" priority="3" operator="notEqual">
      <formula>"auto"</formula>
    </cfRule>
  </conditionalFormatting>
  <conditionalFormatting sqref="C14">
    <cfRule type="cellIs" dxfId="0" priority="4" operator="notEqual">
      <formula>8</formula>
    </cfRule>
  </conditionalFormatting>
  <dataValidations count="3">
    <dataValidation type="list" allowBlank="1" sqref="C13">
      <formula1>"4 / 5,4 / 6,4 / 7,4 / 8"</formula1>
    </dataValidation>
    <dataValidation type="list" allowBlank="1" sqref="C11">
      <formula1>"yes,no"</formula1>
    </dataValidation>
    <dataValidation type="list" allowBlank="1" sqref="C12">
      <formula1>"auto,yes,no"</formula1>
    </dataValidation>
  </dataValidations>
  <hyperlinks>
    <hyperlink ref="A2" r:id="rId1" location="page=7"/>
    <hyperlink ref="C33" r:id="rId2"/>
    <hyperlink ref="C34" r:id="rId3"/>
    <hyperlink ref="C35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</vt:lpstr>
      <vt:lpstr>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Kasama Tentrack</dc:creator>
  <cp:lastModifiedBy>kasam</cp:lastModifiedBy>
  <dcterms:created xsi:type="dcterms:W3CDTF">2020-07-08T16:24:18Z</dcterms:created>
  <dcterms:modified xsi:type="dcterms:W3CDTF">2020-07-08T16:24:18Z</dcterms:modified>
</cp:coreProperties>
</file>