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kh\Downloads\"/>
    </mc:Choice>
  </mc:AlternateContent>
  <xr:revisionPtr revIDLastSave="0" documentId="13_ncr:1_{9CFA25CF-AD0D-4544-99C4-F78BD08024A3}" xr6:coauthVersionLast="47" xr6:coauthVersionMax="47" xr10:uidLastSave="{00000000-0000-0000-0000-000000000000}"/>
  <bookViews>
    <workbookView xWindow="38280" yWindow="5235" windowWidth="29040" windowHeight="15720" firstSheet="1" activeTab="1" xr2:uid="{A11CFC9C-D6DC-4C53-AA4A-CD55E1369E23}"/>
  </bookViews>
  <sheets>
    <sheet name="Sheet1 (3)" sheetId="3" state="hidden" r:id="rId1"/>
    <sheet name="Sheet1 (2)" sheetId="2" r:id="rId2"/>
    <sheet name="initial_without_peoper_horizont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" i="2" l="1"/>
  <c r="Q188" i="2"/>
  <c r="C153" i="2" s="1"/>
  <c r="Q192" i="2"/>
  <c r="C154" i="2"/>
  <c r="B89" i="2"/>
  <c r="P192" i="2"/>
  <c r="O192" i="2"/>
  <c r="P188" i="2"/>
  <c r="O188" i="2"/>
  <c r="P184" i="2"/>
  <c r="O184" i="2"/>
  <c r="Q184" i="2" s="1"/>
  <c r="P183" i="2"/>
  <c r="O183" i="2"/>
  <c r="Q183" i="2" s="1"/>
  <c r="P179" i="2"/>
  <c r="O179" i="2"/>
  <c r="Q179" i="2" s="1"/>
  <c r="P178" i="2"/>
  <c r="O178" i="2"/>
  <c r="P174" i="2"/>
  <c r="O174" i="2"/>
  <c r="Q174" i="2" s="1"/>
  <c r="C150" i="2" s="1"/>
  <c r="P173" i="2"/>
  <c r="O173" i="2"/>
  <c r="Q173" i="2" s="1"/>
  <c r="P162" i="2"/>
  <c r="G115" i="2"/>
  <c r="P169" i="2"/>
  <c r="O169" i="2"/>
  <c r="Q169" i="2" s="1"/>
  <c r="P168" i="2"/>
  <c r="O168" i="2"/>
  <c r="Q168" i="2" s="1"/>
  <c r="C149" i="2" s="1"/>
  <c r="P164" i="2"/>
  <c r="O164" i="2"/>
  <c r="Q164" i="2" s="1"/>
  <c r="P163" i="2"/>
  <c r="O163" i="2"/>
  <c r="O162" i="2"/>
  <c r="Q162" i="2" s="1"/>
  <c r="P161" i="2"/>
  <c r="O161" i="2"/>
  <c r="Q161" i="2" s="1"/>
  <c r="P157" i="2"/>
  <c r="O157" i="2"/>
  <c r="Q157" i="2" s="1"/>
  <c r="P156" i="2"/>
  <c r="O156" i="2"/>
  <c r="Q156" i="2" s="1"/>
  <c r="P155" i="2"/>
  <c r="O155" i="2"/>
  <c r="Q155" i="2" s="1"/>
  <c r="P154" i="2"/>
  <c r="O154" i="2"/>
  <c r="Q154" i="2" s="1"/>
  <c r="P153" i="2"/>
  <c r="O153" i="2"/>
  <c r="Q153" i="2" s="1"/>
  <c r="C147" i="2" s="1"/>
  <c r="Q145" i="2"/>
  <c r="P149" i="2"/>
  <c r="P148" i="2"/>
  <c r="Q148" i="2" s="1"/>
  <c r="P147" i="2"/>
  <c r="P146" i="2"/>
  <c r="P145" i="2"/>
  <c r="O145" i="2"/>
  <c r="O149" i="2"/>
  <c r="O148" i="2"/>
  <c r="O147" i="2"/>
  <c r="O146" i="2"/>
  <c r="F112" i="2"/>
  <c r="E66" i="2"/>
  <c r="J87" i="2"/>
  <c r="G138" i="2"/>
  <c r="B141" i="2"/>
  <c r="G139" i="2"/>
  <c r="F139" i="2"/>
  <c r="F138" i="2"/>
  <c r="E138" i="2"/>
  <c r="B135" i="2"/>
  <c r="H112" i="2"/>
  <c r="G112" i="2"/>
  <c r="C119" i="2"/>
  <c r="C121" i="2"/>
  <c r="B108" i="2"/>
  <c r="G33" i="2"/>
  <c r="F33" i="2"/>
  <c r="E33" i="2"/>
  <c r="C87" i="2"/>
  <c r="J83" i="2"/>
  <c r="H83" i="2"/>
  <c r="C164" i="3"/>
  <c r="C165" i="3"/>
  <c r="C166" i="3"/>
  <c r="C167" i="3"/>
  <c r="C168" i="3"/>
  <c r="C169" i="3"/>
  <c r="C170" i="3"/>
  <c r="C171" i="3"/>
  <c r="C172" i="3"/>
  <c r="C173" i="3"/>
  <c r="E138" i="3"/>
  <c r="E137" i="3"/>
  <c r="B143" i="3"/>
  <c r="D137" i="3"/>
  <c r="C137" i="3"/>
  <c r="G112" i="3"/>
  <c r="E112" i="3"/>
  <c r="C119" i="3"/>
  <c r="C121" i="3"/>
  <c r="C87" i="3"/>
  <c r="B108" i="3" s="1"/>
  <c r="G93" i="3"/>
  <c r="F93" i="3"/>
  <c r="E93" i="3"/>
  <c r="C106" i="3"/>
  <c r="B89" i="3"/>
  <c r="D138" i="3"/>
  <c r="B132" i="3"/>
  <c r="E117" i="3"/>
  <c r="D141" i="3" s="1"/>
  <c r="E116" i="3"/>
  <c r="G115" i="3"/>
  <c r="E115" i="3"/>
  <c r="E114" i="3"/>
  <c r="D139" i="3" s="1"/>
  <c r="E113" i="3"/>
  <c r="E97" i="3"/>
  <c r="G97" i="3" s="1"/>
  <c r="E96" i="3"/>
  <c r="G96" i="3" s="1"/>
  <c r="E95" i="3"/>
  <c r="E94" i="3"/>
  <c r="F112" i="3"/>
  <c r="F86" i="3"/>
  <c r="B85" i="3"/>
  <c r="F70" i="3"/>
  <c r="E70" i="3"/>
  <c r="F97" i="3" s="1"/>
  <c r="F117" i="3" s="1"/>
  <c r="G117" i="3" s="1"/>
  <c r="F69" i="3"/>
  <c r="E69" i="3"/>
  <c r="F96" i="3" s="1"/>
  <c r="F116" i="3" s="1"/>
  <c r="F68" i="3"/>
  <c r="E68" i="3"/>
  <c r="F95" i="3" s="1"/>
  <c r="F67" i="3"/>
  <c r="E67" i="3"/>
  <c r="F94" i="3" s="1"/>
  <c r="F113" i="3" s="1"/>
  <c r="F66" i="3"/>
  <c r="E66" i="3"/>
  <c r="F83" i="3" s="1"/>
  <c r="E59" i="3"/>
  <c r="F56" i="3"/>
  <c r="G56" i="3" s="1"/>
  <c r="E56" i="3"/>
  <c r="F55" i="3"/>
  <c r="E37" i="3"/>
  <c r="F37" i="3" s="1"/>
  <c r="G37" i="3" s="1"/>
  <c r="C141" i="3" s="1"/>
  <c r="F36" i="3"/>
  <c r="G36" i="3" s="1"/>
  <c r="C140" i="3" s="1"/>
  <c r="E36" i="3"/>
  <c r="E35" i="3"/>
  <c r="F35" i="3" s="1"/>
  <c r="G35" i="3" s="1"/>
  <c r="C139" i="3" s="1"/>
  <c r="E34" i="3"/>
  <c r="F34" i="3" s="1"/>
  <c r="G34" i="3" s="1"/>
  <c r="C138" i="3" s="1"/>
  <c r="E33" i="3"/>
  <c r="F33" i="3" s="1"/>
  <c r="G33" i="3" s="1"/>
  <c r="B13" i="3"/>
  <c r="E55" i="3" s="1"/>
  <c r="B10" i="3"/>
  <c r="B7" i="3"/>
  <c r="B15" i="3" s="1"/>
  <c r="F66" i="2"/>
  <c r="E112" i="2"/>
  <c r="G93" i="2"/>
  <c r="H87" i="2"/>
  <c r="I85" i="2"/>
  <c r="I84" i="2"/>
  <c r="I83" i="2"/>
  <c r="F67" i="2"/>
  <c r="E34" i="2"/>
  <c r="F34" i="2"/>
  <c r="G34" i="2"/>
  <c r="E139" i="2"/>
  <c r="H115" i="2"/>
  <c r="J84" i="2"/>
  <c r="I86" i="2"/>
  <c r="J86" i="2" s="1"/>
  <c r="I87" i="2"/>
  <c r="F93" i="2"/>
  <c r="H86" i="2"/>
  <c r="H85" i="2"/>
  <c r="H84" i="2"/>
  <c r="B132" i="2"/>
  <c r="E117" i="2"/>
  <c r="E116" i="2"/>
  <c r="E115" i="2"/>
  <c r="E114" i="2"/>
  <c r="E113" i="2"/>
  <c r="E97" i="2"/>
  <c r="E96" i="2"/>
  <c r="E95" i="2"/>
  <c r="E94" i="2"/>
  <c r="E93" i="2"/>
  <c r="B85" i="2"/>
  <c r="F70" i="2"/>
  <c r="E70" i="2"/>
  <c r="F69" i="2"/>
  <c r="E69" i="2"/>
  <c r="F96" i="2" s="1"/>
  <c r="F68" i="2"/>
  <c r="E68" i="2"/>
  <c r="F95" i="2" s="1"/>
  <c r="E67" i="2"/>
  <c r="F94" i="2" s="1"/>
  <c r="F113" i="2" s="1"/>
  <c r="H113" i="2" s="1"/>
  <c r="F59" i="2"/>
  <c r="G59" i="2" s="1"/>
  <c r="E59" i="2"/>
  <c r="F58" i="2"/>
  <c r="G58" i="2" s="1"/>
  <c r="E58" i="2"/>
  <c r="F57" i="2"/>
  <c r="G57" i="2" s="1"/>
  <c r="F56" i="2"/>
  <c r="G56" i="2" s="1"/>
  <c r="E56" i="2"/>
  <c r="E55" i="2"/>
  <c r="E37" i="2"/>
  <c r="F37" i="2" s="1"/>
  <c r="G37" i="2" s="1"/>
  <c r="E36" i="2"/>
  <c r="F36" i="2" s="1"/>
  <c r="G36" i="2" s="1"/>
  <c r="E35" i="2"/>
  <c r="F35" i="2" s="1"/>
  <c r="G35" i="2" s="1"/>
  <c r="B13" i="2"/>
  <c r="E57" i="2" s="1"/>
  <c r="B10" i="2"/>
  <c r="B7" i="2"/>
  <c r="B15" i="2" s="1"/>
  <c r="E94" i="1"/>
  <c r="C87" i="1"/>
  <c r="C174" i="1" s="1"/>
  <c r="F67" i="1"/>
  <c r="D138" i="1"/>
  <c r="D139" i="1"/>
  <c r="D140" i="1"/>
  <c r="D141" i="1"/>
  <c r="D137" i="1"/>
  <c r="B132" i="1"/>
  <c r="C141" i="1"/>
  <c r="C140" i="1"/>
  <c r="C139" i="1"/>
  <c r="C138" i="1"/>
  <c r="C137" i="1"/>
  <c r="B125" i="1"/>
  <c r="C121" i="1"/>
  <c r="C119" i="1"/>
  <c r="G115" i="1"/>
  <c r="F116" i="1"/>
  <c r="G116" i="1" s="1"/>
  <c r="F68" i="1"/>
  <c r="F117" i="1"/>
  <c r="F114" i="1"/>
  <c r="G114" i="1" s="1"/>
  <c r="F113" i="1"/>
  <c r="G113" i="1" s="1"/>
  <c r="F112" i="1"/>
  <c r="F94" i="1"/>
  <c r="G94" i="1" s="1"/>
  <c r="F95" i="1"/>
  <c r="F96" i="1"/>
  <c r="F97" i="1"/>
  <c r="F93" i="1"/>
  <c r="G117" i="1"/>
  <c r="E113" i="1"/>
  <c r="E114" i="1"/>
  <c r="E115" i="1"/>
  <c r="E116" i="1"/>
  <c r="E117" i="1"/>
  <c r="E112" i="1"/>
  <c r="E95" i="1"/>
  <c r="E96" i="1"/>
  <c r="E97" i="1"/>
  <c r="E93" i="1"/>
  <c r="G93" i="1" s="1"/>
  <c r="B85" i="1"/>
  <c r="F66" i="1"/>
  <c r="F69" i="1"/>
  <c r="F70" i="1"/>
  <c r="G67" i="1"/>
  <c r="G68" i="1"/>
  <c r="G69" i="1"/>
  <c r="G70" i="1"/>
  <c r="G66" i="1"/>
  <c r="E36" i="1"/>
  <c r="F36" i="1" s="1"/>
  <c r="E35" i="1"/>
  <c r="F35" i="1" s="1"/>
  <c r="E34" i="1"/>
  <c r="F34" i="1" s="1"/>
  <c r="E37" i="1"/>
  <c r="F37" i="1" s="1"/>
  <c r="E33" i="1"/>
  <c r="F33" i="1" s="1"/>
  <c r="B7" i="1"/>
  <c r="B15" i="1" s="1"/>
  <c r="B13" i="1"/>
  <c r="F55" i="1" s="1"/>
  <c r="B10" i="1"/>
  <c r="C152" i="2" l="1"/>
  <c r="Q178" i="2"/>
  <c r="C151" i="2" s="1"/>
  <c r="Q163" i="2"/>
  <c r="C148" i="2" s="1"/>
  <c r="Q147" i="2"/>
  <c r="C145" i="2" s="1"/>
  <c r="Q149" i="2"/>
  <c r="Q146" i="2"/>
  <c r="B125" i="2"/>
  <c r="G94" i="3"/>
  <c r="G113" i="3"/>
  <c r="G55" i="3"/>
  <c r="E139" i="3"/>
  <c r="G95" i="3"/>
  <c r="F114" i="3"/>
  <c r="G114" i="3" s="1"/>
  <c r="F85" i="3"/>
  <c r="D140" i="3"/>
  <c r="E140" i="3" s="1"/>
  <c r="E57" i="3"/>
  <c r="E141" i="3"/>
  <c r="F57" i="3"/>
  <c r="G57" i="3" s="1"/>
  <c r="F87" i="3"/>
  <c r="E58" i="3"/>
  <c r="F58" i="3"/>
  <c r="G58" i="3" s="1"/>
  <c r="F59" i="3"/>
  <c r="G59" i="3" s="1"/>
  <c r="F84" i="3"/>
  <c r="G116" i="3"/>
  <c r="G94" i="2"/>
  <c r="J85" i="2"/>
  <c r="G113" i="2"/>
  <c r="G95" i="2"/>
  <c r="F114" i="2"/>
  <c r="F116" i="2"/>
  <c r="H116" i="2" s="1"/>
  <c r="G96" i="2"/>
  <c r="G116" i="2"/>
  <c r="F97" i="2"/>
  <c r="F117" i="2" s="1"/>
  <c r="F55" i="2"/>
  <c r="G55" i="2" s="1"/>
  <c r="B89" i="1"/>
  <c r="C165" i="1"/>
  <c r="C173" i="1"/>
  <c r="C172" i="1"/>
  <c r="C171" i="1"/>
  <c r="C170" i="1"/>
  <c r="C169" i="1"/>
  <c r="C168" i="1"/>
  <c r="C167" i="1"/>
  <c r="C166" i="1"/>
  <c r="G112" i="1"/>
  <c r="G95" i="1"/>
  <c r="G97" i="1"/>
  <c r="G96" i="1"/>
  <c r="C106" i="1"/>
  <c r="B108" i="1" s="1"/>
  <c r="B127" i="1" s="1"/>
  <c r="G35" i="1"/>
  <c r="G37" i="1"/>
  <c r="G34" i="1"/>
  <c r="G36" i="1"/>
  <c r="G33" i="1"/>
  <c r="E59" i="1"/>
  <c r="F58" i="1"/>
  <c r="F57" i="1"/>
  <c r="E57" i="1"/>
  <c r="E56" i="1"/>
  <c r="F59" i="1"/>
  <c r="G59" i="1" s="1"/>
  <c r="F56" i="1"/>
  <c r="G56" i="1" s="1"/>
  <c r="E58" i="1"/>
  <c r="E55" i="1"/>
  <c r="G55" i="1" s="1"/>
  <c r="B125" i="3" l="1"/>
  <c r="G114" i="2"/>
  <c r="H114" i="2"/>
  <c r="G117" i="2"/>
  <c r="H117" i="2"/>
  <c r="G97" i="2"/>
  <c r="C106" i="2" s="1"/>
  <c r="G57" i="1"/>
  <c r="G58" i="1"/>
  <c r="B127" i="3" l="1"/>
  <c r="B127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<sst xmlns="http://schemas.openxmlformats.org/spreadsheetml/2006/main" count="518" uniqueCount="88">
  <si>
    <t>Sample</t>
  </si>
  <si>
    <t>CIV7048</t>
  </si>
  <si>
    <t>CW 2a</t>
  </si>
  <si>
    <t>Tube Type</t>
  </si>
  <si>
    <t>U100</t>
  </si>
  <si>
    <t>Tube Length</t>
  </si>
  <si>
    <t>cm</t>
  </si>
  <si>
    <t>m</t>
  </si>
  <si>
    <t>Tube Volume</t>
  </si>
  <si>
    <t>L</t>
  </si>
  <si>
    <t>m3</t>
  </si>
  <si>
    <t>Table 1 Data</t>
  </si>
  <si>
    <t>Depth to Top (mBGS*)</t>
  </si>
  <si>
    <t>Depth to Base (mBGS*)</t>
  </si>
  <si>
    <t>Weight (kg)</t>
  </si>
  <si>
    <t>Dry Weight (kg)</t>
  </si>
  <si>
    <t>d10 (mm)</t>
  </si>
  <si>
    <t>d60 (mm)</t>
  </si>
  <si>
    <t>A</t>
  </si>
  <si>
    <t>B</t>
  </si>
  <si>
    <t>C</t>
  </si>
  <si>
    <t>D</t>
  </si>
  <si>
    <t>E</t>
  </si>
  <si>
    <t>* mBGS</t>
  </si>
  <si>
    <t>Metres below ground surface</t>
  </si>
  <si>
    <t>mm</t>
  </si>
  <si>
    <t>Tube Diameter</t>
  </si>
  <si>
    <t>Calculated Tube Volume</t>
  </si>
  <si>
    <t>&lt;- Same as provided volume</t>
  </si>
  <si>
    <t>Part (a)</t>
  </si>
  <si>
    <t>Porosity = (Volume Void)/(Total Volume)</t>
  </si>
  <si>
    <t>Water Weight (kg)</t>
  </si>
  <si>
    <t>Water Density</t>
  </si>
  <si>
    <t>kg/m3</t>
  </si>
  <si>
    <t>Void Volume (m3)</t>
  </si>
  <si>
    <t>Porosity (%)</t>
  </si>
  <si>
    <t>Porosity = (Volume Void)/(Tube Volume)</t>
  </si>
  <si>
    <t>Water Weight = Weight - Dry Weight</t>
  </si>
  <si>
    <t>Void Volume = (Water Weight)/(Water Density)</t>
  </si>
  <si>
    <t>Question alternative when tube volume used for both weight and dry weight</t>
  </si>
  <si>
    <t>Bulk Density (kg/m3)</t>
  </si>
  <si>
    <t>Solid Density (kg/m3)</t>
  </si>
  <si>
    <t>Solid Volume = Total Volume - Void Volume</t>
  </si>
  <si>
    <t>Part (b)</t>
  </si>
  <si>
    <t xml:space="preserve">A </t>
  </si>
  <si>
    <t>typical constant value</t>
  </si>
  <si>
    <t>Uniformity Coefficient</t>
  </si>
  <si>
    <t>Hydraulic Conductivity (m/day)</t>
  </si>
  <si>
    <t>Mulptiply by 864 to convert from cm/sec to m/day</t>
  </si>
  <si>
    <t>Part (d)</t>
  </si>
  <si>
    <t>Average Horizontal Hydraulic Conductivity</t>
  </si>
  <si>
    <t>m/day</t>
  </si>
  <si>
    <t>Saturated Thickness</t>
  </si>
  <si>
    <t>Water Table Depth</t>
  </si>
  <si>
    <t>Transmissivity</t>
  </si>
  <si>
    <t>m2/day</t>
  </si>
  <si>
    <t>Part (e)</t>
  </si>
  <si>
    <t>Average Vertical Hydraulic Conductivity</t>
  </si>
  <si>
    <t>Thickness (m)</t>
  </si>
  <si>
    <t>bi/ki</t>
  </si>
  <si>
    <t>bi/ki ()</t>
  </si>
  <si>
    <t>Anisotropy Ratio</t>
  </si>
  <si>
    <t>A = kh/kv</t>
  </si>
  <si>
    <t>Part (F)</t>
  </si>
  <si>
    <t>New</t>
  </si>
  <si>
    <t>New Anisotropy Ratio</t>
  </si>
  <si>
    <t>New Average Horizontal Hydraulic Conductivity</t>
  </si>
  <si>
    <t>New Average Vertical Hydraulic Conductivity</t>
  </si>
  <si>
    <t>Difference</t>
  </si>
  <si>
    <t>Part (G)</t>
  </si>
  <si>
    <t>Part (H)</t>
  </si>
  <si>
    <t>Specific Yield / Porsoity</t>
  </si>
  <si>
    <t>Area</t>
  </si>
  <si>
    <t>km2</t>
  </si>
  <si>
    <t>m2</t>
  </si>
  <si>
    <t>Water table Drop</t>
  </si>
  <si>
    <t>Drained Volume</t>
  </si>
  <si>
    <t>Part (J)</t>
  </si>
  <si>
    <t>Water Table Depth (m)</t>
  </si>
  <si>
    <t>Transmissivity (m2/day)</t>
  </si>
  <si>
    <t>bi*ki</t>
  </si>
  <si>
    <t>Drained Volume (m3)</t>
  </si>
  <si>
    <t>Total Drained Volume</t>
  </si>
  <si>
    <t xml:space="preserve">Ki*bi </t>
  </si>
  <si>
    <t>New water tabel level</t>
  </si>
  <si>
    <t>Unsaturated Thickness (m)</t>
  </si>
  <si>
    <t>Part (H) and (J)</t>
  </si>
  <si>
    <t>Water Table Depth Below Surface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</si>
</sst>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165" fontId="0" fillId="0" borderId="0" xfId="0" applyNumberFormat="1" applyAlignment="1">
      <alignment horizontal="center"/>
    </xf>
    <xf numFmtId="0" fontId="5" fillId="0" borderId="0" xfId="0" applyFont="1"/>
    <xf numFmtId="1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3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The Impact</a:t>
            </a:r>
            <a:r>
              <a:rPr lang="en-US" b="1" baseline="0">
                <a:solidFill>
                  <a:srgbClr val="C00000"/>
                </a:solidFill>
              </a:rPr>
              <a:t> of Water Table Depth on Transmissivity </a:t>
            </a:r>
            <a:endParaRPr 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(3)'!$C$163</c:f>
              <c:strCache>
                <c:ptCount val="1"/>
                <c:pt idx="0">
                  <c:v>Transmissivity (m2/day)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'Sheet1 (3)'!$B$164:$B$173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xVal>
          <c:yVal>
            <c:numRef>
              <c:f>'Sheet1 (3)'!$C$164:$C$173</c:f>
              <c:numCache>
                <c:formatCode>General</c:formatCode>
                <c:ptCount val="10"/>
                <c:pt idx="0">
                  <c:v>1719.5</c:v>
                </c:pt>
                <c:pt idx="1">
                  <c:v>1538.5</c:v>
                </c:pt>
                <c:pt idx="2">
                  <c:v>1357.5</c:v>
                </c:pt>
                <c:pt idx="3">
                  <c:v>1176.5</c:v>
                </c:pt>
                <c:pt idx="4">
                  <c:v>995.5</c:v>
                </c:pt>
                <c:pt idx="5">
                  <c:v>814.5</c:v>
                </c:pt>
                <c:pt idx="6">
                  <c:v>633.5</c:v>
                </c:pt>
                <c:pt idx="7">
                  <c:v>452.5</c:v>
                </c:pt>
                <c:pt idx="8">
                  <c:v>271.5</c:v>
                </c:pt>
                <c:pt idx="9">
                  <c:v>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2-4D52-8901-21537ADF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22271"/>
        <c:axId val="1990625151"/>
      </c:scatterChart>
      <c:valAx>
        <c:axId val="199062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C00000"/>
                    </a:solidFill>
                  </a:rPr>
                  <a:t>Water Table Depth Below Surface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25151"/>
        <c:crosses val="autoZero"/>
        <c:crossBetween val="midCat"/>
      </c:valAx>
      <c:valAx>
        <c:axId val="19906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C00000"/>
                    </a:solidFill>
                  </a:rPr>
                  <a:t>Transmissivity (m2/day)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2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C00000"/>
                </a:solidFill>
              </a:rPr>
              <a:t>The Impact of Water Table Depth on</a:t>
            </a:r>
            <a:r>
              <a:rPr lang="en-US" sz="1400" b="1" baseline="0">
                <a:solidFill>
                  <a:srgbClr val="C00000"/>
                </a:solidFill>
              </a:rPr>
              <a:t> </a:t>
            </a:r>
            <a:r>
              <a:rPr lang="en-US" sz="1400" b="1">
                <a:solidFill>
                  <a:srgbClr val="C00000"/>
                </a:solidFill>
              </a:rPr>
              <a:t>Transmissivity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(2)'!$C$144</c:f>
              <c:strCache>
                <c:ptCount val="1"/>
                <c:pt idx="0">
                  <c:v>Transmissivity (m2/day)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'Sheet1 (2)'!$B$145:$B$154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xVal>
          <c:yVal>
            <c:numRef>
              <c:f>'Sheet1 (2)'!$C$145:$C$154</c:f>
              <c:numCache>
                <c:formatCode>General</c:formatCode>
                <c:ptCount val="10"/>
                <c:pt idx="0">
                  <c:v>275.96161000000012</c:v>
                </c:pt>
                <c:pt idx="1">
                  <c:v>271.25281000000012</c:v>
                </c:pt>
                <c:pt idx="2">
                  <c:v>262.61281000000014</c:v>
                </c:pt>
                <c:pt idx="3">
                  <c:v>168.43681000000009</c:v>
                </c:pt>
                <c:pt idx="4">
                  <c:v>73.673280000000005</c:v>
                </c:pt>
                <c:pt idx="5">
                  <c:v>63.218879999999999</c:v>
                </c:pt>
                <c:pt idx="6">
                  <c:v>52.764480000000006</c:v>
                </c:pt>
                <c:pt idx="7">
                  <c:v>42.310080000000006</c:v>
                </c:pt>
                <c:pt idx="8">
                  <c:v>29.159999999999997</c:v>
                </c:pt>
                <c:pt idx="9">
                  <c:v>9.7199999999999989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5-4C80-A8FC-B5E4EBDC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22800"/>
        <c:axId val="846516080"/>
      </c:scatterChart>
      <c:valAx>
        <c:axId val="8465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C00000"/>
                    </a:solidFill>
                  </a:rPr>
                  <a:t>Water Table Depth Below Surface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16080"/>
        <c:crosses val="autoZero"/>
        <c:crossBetween val="midCat"/>
      </c:valAx>
      <c:valAx>
        <c:axId val="8465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C00000"/>
                    </a:solidFill>
                  </a:rPr>
                  <a:t>Transmissivity (m2/day)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2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17371</xdr:colOff>
      <xdr:row>38</xdr:row>
      <xdr:rowOff>43142</xdr:rowOff>
    </xdr:from>
    <xdr:to>
      <xdr:col>2</xdr:col>
      <xdr:colOff>359390</xdr:colOff>
      <xdr:row>50</xdr:row>
      <xdr:rowOff>21061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1C366D-AABF-487C-8203-F12DD163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846" y="7329767"/>
          <a:ext cx="1732669" cy="2263919"/>
        </a:xfrm>
        <a:prstGeom prst="rect">
          <a:avLst/>
        </a:prstGeom>
      </xdr:spPr>
    </xdr:pic>
    <xdr:clientData/>
  </xdr:twoCellAnchor>
  <xdr:twoCellAnchor editAs="oneCell">
    <xdr:from>
      <xdr:col>0</xdr:col>
      <xdr:colOff>1501587</xdr:colOff>
      <xdr:row>70</xdr:row>
      <xdr:rowOff>100854</xdr:rowOff>
    </xdr:from>
    <xdr:to>
      <xdr:col>1</xdr:col>
      <xdr:colOff>1247696</xdr:colOff>
      <xdr:row>74</xdr:row>
      <xdr:rowOff>33619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64ACC0-C8BC-4AB4-B7F4-8B45DE019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587" y="13502529"/>
          <a:ext cx="1260584" cy="694765"/>
        </a:xfrm>
        <a:prstGeom prst="rect">
          <a:avLst/>
        </a:prstGeom>
      </xdr:spPr>
    </xdr:pic>
    <xdr:clientData/>
  </xdr:twoCellAnchor>
  <xdr:twoCellAnchor editAs="oneCell">
    <xdr:from>
      <xdr:col>0</xdr:col>
      <xdr:colOff>1501590</xdr:colOff>
      <xdr:row>74</xdr:row>
      <xdr:rowOff>123265</xdr:rowOff>
    </xdr:from>
    <xdr:to>
      <xdr:col>1</xdr:col>
      <xdr:colOff>1143803</xdr:colOff>
      <xdr:row>78</xdr:row>
      <xdr:rowOff>167159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86FE44-B257-482F-8F70-D61F9206B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590" y="14286940"/>
          <a:ext cx="1156688" cy="805894"/>
        </a:xfrm>
        <a:prstGeom prst="rect">
          <a:avLst/>
        </a:prstGeom>
      </xdr:spPr>
    </xdr:pic>
    <xdr:clientData/>
  </xdr:twoCellAnchor>
  <xdr:twoCellAnchor editAs="oneCell">
    <xdr:from>
      <xdr:col>1</xdr:col>
      <xdr:colOff>56030</xdr:colOff>
      <xdr:row>97</xdr:row>
      <xdr:rowOff>168088</xdr:rowOff>
    </xdr:from>
    <xdr:to>
      <xdr:col>2</xdr:col>
      <xdr:colOff>238344</xdr:colOff>
      <xdr:row>104</xdr:row>
      <xdr:rowOff>44432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CFEB5A-6488-498C-8A3B-4CE6575B1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505" y="18751363"/>
          <a:ext cx="1572964" cy="1209844"/>
        </a:xfrm>
        <a:prstGeom prst="rect">
          <a:avLst/>
        </a:prstGeom>
      </xdr:spPr>
    </xdr:pic>
    <xdr:clientData/>
  </xdr:twoCellAnchor>
  <xdr:twoCellAnchor>
    <xdr:from>
      <xdr:col>3</xdr:col>
      <xdr:colOff>737152</xdr:colOff>
      <xdr:row>160</xdr:row>
      <xdr:rowOff>135835</xdr:rowOff>
    </xdr:from>
    <xdr:to>
      <xdr:col>5</xdr:col>
      <xdr:colOff>1590261</xdr:colOff>
      <xdr:row>175</xdr:row>
      <xdr:rowOff>4970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D5B511-F37F-0C49-D3C7-F665F10C6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17371</xdr:colOff>
      <xdr:row>38</xdr:row>
      <xdr:rowOff>43142</xdr:rowOff>
    </xdr:from>
    <xdr:to>
      <xdr:col>1</xdr:col>
      <xdr:colOff>1748920</xdr:colOff>
      <xdr:row>50</xdr:row>
      <xdr:rowOff>21061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B5A235-4232-44B7-85D5-2C79ED4B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846" y="7310717"/>
          <a:ext cx="1732669" cy="2263919"/>
        </a:xfrm>
        <a:prstGeom prst="rect">
          <a:avLst/>
        </a:prstGeom>
      </xdr:spPr>
    </xdr:pic>
    <xdr:clientData/>
  </xdr:twoCellAnchor>
  <xdr:twoCellAnchor editAs="oneCell">
    <xdr:from>
      <xdr:col>0</xdr:col>
      <xdr:colOff>1501587</xdr:colOff>
      <xdr:row>70</xdr:row>
      <xdr:rowOff>100854</xdr:rowOff>
    </xdr:from>
    <xdr:to>
      <xdr:col>1</xdr:col>
      <xdr:colOff>1247696</xdr:colOff>
      <xdr:row>74</xdr:row>
      <xdr:rowOff>33619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4A0376-D217-4E5E-B0AF-2C9B157C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587" y="13464429"/>
          <a:ext cx="1260584" cy="694765"/>
        </a:xfrm>
        <a:prstGeom prst="rect">
          <a:avLst/>
        </a:prstGeom>
      </xdr:spPr>
    </xdr:pic>
    <xdr:clientData/>
  </xdr:twoCellAnchor>
  <xdr:twoCellAnchor editAs="oneCell">
    <xdr:from>
      <xdr:col>0</xdr:col>
      <xdr:colOff>1501590</xdr:colOff>
      <xdr:row>74</xdr:row>
      <xdr:rowOff>123265</xdr:rowOff>
    </xdr:from>
    <xdr:to>
      <xdr:col>1</xdr:col>
      <xdr:colOff>1143803</xdr:colOff>
      <xdr:row>78</xdr:row>
      <xdr:rowOff>167159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04BBE-E326-4745-BE66-FE01686EB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590" y="14248840"/>
          <a:ext cx="1156688" cy="805894"/>
        </a:xfrm>
        <a:prstGeom prst="rect">
          <a:avLst/>
        </a:prstGeom>
      </xdr:spPr>
    </xdr:pic>
    <xdr:clientData/>
  </xdr:twoCellAnchor>
  <xdr:twoCellAnchor editAs="oneCell">
    <xdr:from>
      <xdr:col>1</xdr:col>
      <xdr:colOff>56030</xdr:colOff>
      <xdr:row>97</xdr:row>
      <xdr:rowOff>168088</xdr:rowOff>
    </xdr:from>
    <xdr:to>
      <xdr:col>1</xdr:col>
      <xdr:colOff>1627874</xdr:colOff>
      <xdr:row>104</xdr:row>
      <xdr:rowOff>44432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708B36-F817-48AA-8F3F-9EDEAFF1B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505" y="18703738"/>
          <a:ext cx="1572964" cy="1209844"/>
        </a:xfrm>
        <a:prstGeom prst="rect">
          <a:avLst/>
        </a:prstGeom>
      </xdr:spPr>
    </xdr:pic>
    <xdr:clientData/>
  </xdr:twoCellAnchor>
  <xdr:twoCellAnchor editAs="oneCell">
    <xdr:from>
      <xdr:col>2</xdr:col>
      <xdr:colOff>1042147</xdr:colOff>
      <xdr:row>79</xdr:row>
      <xdr:rowOff>112058</xdr:rowOff>
    </xdr:from>
    <xdr:to>
      <xdr:col>3</xdr:col>
      <xdr:colOff>763891</xdr:colOff>
      <xdr:row>84</xdr:row>
      <xdr:rowOff>155220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EA017F-132B-B2CE-E35B-130A802BA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44471" y="15195176"/>
          <a:ext cx="1514686" cy="1009791"/>
        </a:xfrm>
        <a:prstGeom prst="rect">
          <a:avLst/>
        </a:prstGeom>
      </xdr:spPr>
    </xdr:pic>
    <xdr:clientData/>
  </xdr:twoCellAnchor>
  <xdr:twoCellAnchor>
    <xdr:from>
      <xdr:col>1</xdr:col>
      <xdr:colOff>946289</xdr:colOff>
      <xdr:row>156</xdr:row>
      <xdr:rowOff>104446</xdr:rowOff>
    </xdr:from>
    <xdr:to>
      <xdr:col>3</xdr:col>
      <xdr:colOff>1339493</xdr:colOff>
      <xdr:row>170</xdr:row>
      <xdr:rowOff>134701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1E5F30-6497-7E9D-44D3-72BAF8FCD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17371</xdr:colOff>
      <xdr:row>38</xdr:row>
      <xdr:rowOff>43142</xdr:rowOff>
    </xdr:from>
    <xdr:to>
      <xdr:col>2</xdr:col>
      <xdr:colOff>359390</xdr:colOff>
      <xdr:row>50</xdr:row>
      <xdr:rowOff>21061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6D8963-EBD3-0378-19CC-90A4E6F21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165" y="7315760"/>
          <a:ext cx="1719542" cy="2263919"/>
        </a:xfrm>
        <a:prstGeom prst="rect">
          <a:avLst/>
        </a:prstGeom>
      </xdr:spPr>
    </xdr:pic>
    <xdr:clientData/>
  </xdr:twoCellAnchor>
  <xdr:twoCellAnchor editAs="oneCell">
    <xdr:from>
      <xdr:col>0</xdr:col>
      <xdr:colOff>1501587</xdr:colOff>
      <xdr:row>70</xdr:row>
      <xdr:rowOff>100854</xdr:rowOff>
    </xdr:from>
    <xdr:to>
      <xdr:col>1</xdr:col>
      <xdr:colOff>1247696</xdr:colOff>
      <xdr:row>74</xdr:row>
      <xdr:rowOff>33619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53C5D3-5AF9-DF66-EB9F-5089E9502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587" y="13469472"/>
          <a:ext cx="1246896" cy="694765"/>
        </a:xfrm>
        <a:prstGeom prst="rect">
          <a:avLst/>
        </a:prstGeom>
      </xdr:spPr>
    </xdr:pic>
    <xdr:clientData/>
  </xdr:twoCellAnchor>
  <xdr:twoCellAnchor editAs="oneCell">
    <xdr:from>
      <xdr:col>0</xdr:col>
      <xdr:colOff>1501590</xdr:colOff>
      <xdr:row>74</xdr:row>
      <xdr:rowOff>123265</xdr:rowOff>
    </xdr:from>
    <xdr:to>
      <xdr:col>1</xdr:col>
      <xdr:colOff>1143803</xdr:colOff>
      <xdr:row>78</xdr:row>
      <xdr:rowOff>167159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922218-E74D-4D3B-0112-836BA1852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590" y="14253883"/>
          <a:ext cx="1143000" cy="805894"/>
        </a:xfrm>
        <a:prstGeom prst="rect">
          <a:avLst/>
        </a:prstGeom>
      </xdr:spPr>
    </xdr:pic>
    <xdr:clientData/>
  </xdr:twoCellAnchor>
  <xdr:twoCellAnchor editAs="oneCell">
    <xdr:from>
      <xdr:col>1</xdr:col>
      <xdr:colOff>56030</xdr:colOff>
      <xdr:row>97</xdr:row>
      <xdr:rowOff>168088</xdr:rowOff>
    </xdr:from>
    <xdr:to>
      <xdr:col>2</xdr:col>
      <xdr:colOff>238344</xdr:colOff>
      <xdr:row>104</xdr:row>
      <xdr:rowOff>44432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3EE03F-2DA8-65B7-7554-FD1AF084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8824" y="18713823"/>
          <a:ext cx="1571844" cy="120984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57C5-A691-4C60-9F9A-483F880A10F2}">
  <dimension ref="A1:H173"/>
  <sheetViews>
    <sheetView topLeftCell="A155" zoomScale="115" zoomScaleNormal="115" workbookViewId="0">
      <selection activeCell="B158" sqref="B158"/>
    </sheetView>
  </sheetViews>
  <sheetFormatPr defaultRowHeight="15" x14ac:dyDescent="0.25"/>
  <cols>
    <col min="1" max="1" width="22.7109375" bestFit="1" customWidth="1"/>
    <col min="2" max="2" width="20.85546875" bestFit="1" customWidth="1"/>
    <col min="3" max="3" width="26.85546875" bestFit="1" customWidth="1"/>
    <col min="4" max="4" width="26.140625" bestFit="1" customWidth="1"/>
    <col min="5" max="6" width="29.7109375" bestFit="1" customWidth="1"/>
    <col min="7" max="7" width="22.28515625" bestFit="1" customWidth="1"/>
    <col min="8" max="8" width="13.7109375" bestFit="1" customWidth="1"/>
    <col min="9" max="9" width="29.7109375" bestFit="1" customWidth="1"/>
    <col min="10" max="10" width="23.28515625" bestFit="1" customWidth="1"/>
  </cols>
  <sheetData>
    <row r="1" spans="1:4" x14ac:dyDescent="0.25">
      <c r="A1" s="1" t="s">
        <v>1</v>
      </c>
    </row>
    <row r="2" spans="1:4" x14ac:dyDescent="0.25">
      <c r="A2" s="1" t="s">
        <v>2</v>
      </c>
    </row>
    <row r="4" spans="1:4" x14ac:dyDescent="0.25">
      <c r="A4" t="s">
        <v>3</v>
      </c>
      <c r="B4" t="s">
        <v>4</v>
      </c>
    </row>
    <row r="6" spans="1:4" x14ac:dyDescent="0.25">
      <c r="A6" t="s">
        <v>26</v>
      </c>
      <c r="B6" s="2">
        <v>100</v>
      </c>
      <c r="C6" t="s">
        <v>25</v>
      </c>
    </row>
    <row r="7" spans="1:4" x14ac:dyDescent="0.25">
      <c r="B7">
        <f>B6/1000</f>
        <v>0.1</v>
      </c>
      <c r="C7" t="s">
        <v>7</v>
      </c>
    </row>
    <row r="9" spans="1:4" x14ac:dyDescent="0.25">
      <c r="A9" t="s">
        <v>5</v>
      </c>
      <c r="B9" s="2">
        <v>30</v>
      </c>
      <c r="C9" t="s">
        <v>6</v>
      </c>
    </row>
    <row r="10" spans="1:4" x14ac:dyDescent="0.25">
      <c r="B10">
        <f>B9/100</f>
        <v>0.3</v>
      </c>
      <c r="C10" t="s">
        <v>7</v>
      </c>
    </row>
    <row r="12" spans="1:4" x14ac:dyDescent="0.25">
      <c r="A12" t="s">
        <v>8</v>
      </c>
      <c r="B12" s="2">
        <v>2.36</v>
      </c>
      <c r="C12" t="s">
        <v>9</v>
      </c>
      <c r="D12" t="e" vm="1">
        <v>#VALUE!</v>
      </c>
    </row>
    <row r="13" spans="1:4" x14ac:dyDescent="0.25">
      <c r="B13" s="3">
        <f>B12/1000</f>
        <v>2.3599999999999997E-3</v>
      </c>
      <c r="C13" t="s">
        <v>10</v>
      </c>
    </row>
    <row r="15" spans="1:4" x14ac:dyDescent="0.25">
      <c r="A15" t="s">
        <v>27</v>
      </c>
      <c r="B15" s="3">
        <f>PI()*((B7/2)^2)*B10</f>
        <v>2.3561944901923449E-3</v>
      </c>
      <c r="C15" t="s">
        <v>10</v>
      </c>
      <c r="D15" t="s">
        <v>28</v>
      </c>
    </row>
    <row r="18" spans="1:8" ht="15.75" thickBot="1" x14ac:dyDescent="0.3">
      <c r="A18" t="s">
        <v>11</v>
      </c>
    </row>
    <row r="19" spans="1:8" ht="15.75" thickBot="1" x14ac:dyDescent="0.3">
      <c r="B19" s="17" t="s">
        <v>0</v>
      </c>
      <c r="C19" s="18" t="s">
        <v>12</v>
      </c>
      <c r="D19" s="18" t="s">
        <v>13</v>
      </c>
      <c r="E19" s="18" t="s">
        <v>14</v>
      </c>
      <c r="F19" s="18" t="s">
        <v>15</v>
      </c>
      <c r="G19" s="18" t="s">
        <v>16</v>
      </c>
      <c r="H19" s="19" t="s">
        <v>17</v>
      </c>
    </row>
    <row r="20" spans="1:8" x14ac:dyDescent="0.25">
      <c r="B20" s="10" t="s">
        <v>18</v>
      </c>
      <c r="C20" s="9">
        <v>0.5</v>
      </c>
      <c r="D20" s="9">
        <v>1.1000000000000001</v>
      </c>
      <c r="E20" s="9">
        <v>5.48</v>
      </c>
      <c r="F20" s="9">
        <v>5</v>
      </c>
      <c r="G20" s="9">
        <v>0.02</v>
      </c>
      <c r="H20" s="11">
        <v>0.04</v>
      </c>
    </row>
    <row r="21" spans="1:8" x14ac:dyDescent="0.25">
      <c r="B21" s="20" t="s">
        <v>19</v>
      </c>
      <c r="C21" s="21">
        <v>1.1000000000000001</v>
      </c>
      <c r="D21" s="21">
        <v>3.4</v>
      </c>
      <c r="E21" s="21">
        <v>4.54</v>
      </c>
      <c r="F21" s="21">
        <v>4.07</v>
      </c>
      <c r="G21" s="21">
        <v>0.1</v>
      </c>
      <c r="H21" s="22">
        <v>0.28000000000000003</v>
      </c>
    </row>
    <row r="22" spans="1:8" x14ac:dyDescent="0.25">
      <c r="B22" s="12" t="s">
        <v>20</v>
      </c>
      <c r="C22" s="8">
        <v>3.4</v>
      </c>
      <c r="D22" s="8">
        <v>3.6</v>
      </c>
      <c r="E22" s="8">
        <v>5.79</v>
      </c>
      <c r="F22" s="8">
        <v>5.32</v>
      </c>
      <c r="G22" s="8">
        <v>1</v>
      </c>
      <c r="H22" s="13">
        <v>10</v>
      </c>
    </row>
    <row r="23" spans="1:8" x14ac:dyDescent="0.25">
      <c r="B23" s="20" t="s">
        <v>21</v>
      </c>
      <c r="C23" s="21">
        <v>3.6</v>
      </c>
      <c r="D23" s="21">
        <v>8.1999999999999993</v>
      </c>
      <c r="E23" s="21">
        <v>4.8499999999999996</v>
      </c>
      <c r="F23" s="21">
        <v>4.38</v>
      </c>
      <c r="G23" s="21">
        <v>0.11</v>
      </c>
      <c r="H23" s="22">
        <v>0.3</v>
      </c>
    </row>
    <row r="24" spans="1:8" ht="15.75" thickBot="1" x14ac:dyDescent="0.3">
      <c r="B24" s="14" t="s">
        <v>22</v>
      </c>
      <c r="C24" s="15">
        <v>8.1999999999999993</v>
      </c>
      <c r="D24" s="15">
        <v>10</v>
      </c>
      <c r="E24" s="15">
        <v>5.16</v>
      </c>
      <c r="F24" s="15">
        <v>4.6900000000000004</v>
      </c>
      <c r="G24" s="15">
        <v>0.15</v>
      </c>
      <c r="H24" s="16">
        <v>0.47499999999999998</v>
      </c>
    </row>
    <row r="26" spans="1:8" x14ac:dyDescent="0.25">
      <c r="B26" s="4" t="s">
        <v>23</v>
      </c>
      <c r="C26" t="s">
        <v>24</v>
      </c>
    </row>
    <row r="28" spans="1:8" x14ac:dyDescent="0.25">
      <c r="A28" s="1" t="s">
        <v>29</v>
      </c>
    </row>
    <row r="30" spans="1:8" x14ac:dyDescent="0.25">
      <c r="A30" t="s">
        <v>32</v>
      </c>
      <c r="B30">
        <v>1000</v>
      </c>
      <c r="C30" t="s">
        <v>33</v>
      </c>
    </row>
    <row r="31" spans="1:8" ht="15.75" thickBot="1" x14ac:dyDescent="0.3"/>
    <row r="32" spans="1:8" x14ac:dyDescent="0.25">
      <c r="B32" s="37" t="s">
        <v>0</v>
      </c>
      <c r="C32" s="38" t="s">
        <v>14</v>
      </c>
      <c r="D32" s="38" t="s">
        <v>15</v>
      </c>
      <c r="E32" s="38" t="s">
        <v>31</v>
      </c>
      <c r="F32" s="38" t="s">
        <v>34</v>
      </c>
      <c r="G32" s="39" t="s">
        <v>35</v>
      </c>
    </row>
    <row r="33" spans="2:7" x14ac:dyDescent="0.25">
      <c r="B33" s="12" t="s">
        <v>18</v>
      </c>
      <c r="C33" s="8">
        <v>5.48</v>
      </c>
      <c r="D33" s="8">
        <v>5</v>
      </c>
      <c r="E33" s="8">
        <f>C33-D33</f>
        <v>0.48000000000000043</v>
      </c>
      <c r="F33" s="34">
        <f>E33/$B$30</f>
        <v>4.8000000000000045E-4</v>
      </c>
      <c r="G33" s="13">
        <f>(F33/$B$13)*100</f>
        <v>20.338983050847478</v>
      </c>
    </row>
    <row r="34" spans="2:7" x14ac:dyDescent="0.25">
      <c r="B34" s="20" t="s">
        <v>19</v>
      </c>
      <c r="C34" s="21">
        <v>4.54</v>
      </c>
      <c r="D34" s="21">
        <v>4.07</v>
      </c>
      <c r="E34" s="21">
        <f>C34-D34</f>
        <v>0.46999999999999975</v>
      </c>
      <c r="F34" s="36">
        <f>E34/$B$30</f>
        <v>4.6999999999999977E-4</v>
      </c>
      <c r="G34" s="22">
        <f>(F34/$B$13)*100</f>
        <v>19.915254237288131</v>
      </c>
    </row>
    <row r="35" spans="2:7" x14ac:dyDescent="0.25">
      <c r="B35" s="12" t="s">
        <v>20</v>
      </c>
      <c r="C35" s="8">
        <v>5.79</v>
      </c>
      <c r="D35" s="8">
        <v>5.32</v>
      </c>
      <c r="E35" s="8">
        <f>C35-D35</f>
        <v>0.46999999999999975</v>
      </c>
      <c r="F35" s="34">
        <f t="shared" ref="F35:F37" si="0">E35/$B$30</f>
        <v>4.6999999999999977E-4</v>
      </c>
      <c r="G35" s="13">
        <f t="shared" ref="G35:G37" si="1">(F35/$B$13)*100</f>
        <v>19.915254237288131</v>
      </c>
    </row>
    <row r="36" spans="2:7" x14ac:dyDescent="0.25">
      <c r="B36" s="20" t="s">
        <v>21</v>
      </c>
      <c r="C36" s="21">
        <v>4.8499999999999996</v>
      </c>
      <c r="D36" s="21">
        <v>4.38</v>
      </c>
      <c r="E36" s="21">
        <f>C36-D36</f>
        <v>0.46999999999999975</v>
      </c>
      <c r="F36" s="36">
        <f t="shared" si="0"/>
        <v>4.6999999999999977E-4</v>
      </c>
      <c r="G36" s="22">
        <f t="shared" si="1"/>
        <v>19.915254237288131</v>
      </c>
    </row>
    <row r="37" spans="2:7" ht="15.75" thickBot="1" x14ac:dyDescent="0.3">
      <c r="B37" s="14" t="s">
        <v>22</v>
      </c>
      <c r="C37" s="15">
        <v>5.16</v>
      </c>
      <c r="D37" s="15">
        <v>4.6900000000000004</v>
      </c>
      <c r="E37" s="15">
        <f t="shared" ref="E37" si="2">C37-D37</f>
        <v>0.46999999999999975</v>
      </c>
      <c r="F37" s="40">
        <f t="shared" si="0"/>
        <v>4.6999999999999977E-4</v>
      </c>
      <c r="G37" s="16">
        <f t="shared" si="1"/>
        <v>19.915254237288131</v>
      </c>
    </row>
    <row r="39" spans="2:7" x14ac:dyDescent="0.25">
      <c r="D39" t="s">
        <v>30</v>
      </c>
    </row>
    <row r="40" spans="2:7" x14ac:dyDescent="0.25">
      <c r="D40" t="s">
        <v>36</v>
      </c>
    </row>
    <row r="42" spans="2:7" x14ac:dyDescent="0.25">
      <c r="D42" t="s">
        <v>37</v>
      </c>
    </row>
    <row r="44" spans="2:7" x14ac:dyDescent="0.25">
      <c r="D44" t="s">
        <v>38</v>
      </c>
    </row>
    <row r="46" spans="2:7" x14ac:dyDescent="0.25">
      <c r="D46" t="s">
        <v>42</v>
      </c>
    </row>
    <row r="52" spans="1:7" x14ac:dyDescent="0.25">
      <c r="A52" t="s">
        <v>39</v>
      </c>
    </row>
    <row r="54" spans="1:7" x14ac:dyDescent="0.25">
      <c r="B54" s="23" t="s">
        <v>0</v>
      </c>
      <c r="C54" s="23" t="s">
        <v>14</v>
      </c>
      <c r="D54" s="23" t="s">
        <v>15</v>
      </c>
      <c r="E54" s="23" t="s">
        <v>40</v>
      </c>
      <c r="F54" s="23" t="s">
        <v>41</v>
      </c>
      <c r="G54" s="23" t="s">
        <v>35</v>
      </c>
    </row>
    <row r="55" spans="1:7" x14ac:dyDescent="0.25">
      <c r="B55" s="4" t="s">
        <v>18</v>
      </c>
      <c r="C55" s="6">
        <v>5.48</v>
      </c>
      <c r="D55" s="6">
        <v>5</v>
      </c>
      <c r="E55" s="6">
        <f>C55/$B$13</f>
        <v>2322.0338983050851</v>
      </c>
      <c r="F55" s="26">
        <f>D55/$B$13</f>
        <v>2118.6440677966107</v>
      </c>
      <c r="G55" s="6">
        <f>(1 -(F55/E55))*100</f>
        <v>8.7591240875912302</v>
      </c>
    </row>
    <row r="56" spans="1:7" x14ac:dyDescent="0.25">
      <c r="B56" s="24" t="s">
        <v>19</v>
      </c>
      <c r="C56" s="25">
        <v>4.54</v>
      </c>
      <c r="D56" s="25">
        <v>4.07</v>
      </c>
      <c r="E56" s="25">
        <f t="shared" ref="E56:F59" si="3">C56/$B$13</f>
        <v>1923.7288135593224</v>
      </c>
      <c r="F56" s="27">
        <f t="shared" si="3"/>
        <v>1724.5762711864411</v>
      </c>
      <c r="G56" s="25">
        <f t="shared" ref="G56:G59" si="4">(1 -(F56/E56))*100</f>
        <v>10.352422907488979</v>
      </c>
    </row>
    <row r="57" spans="1:7" x14ac:dyDescent="0.25">
      <c r="B57" s="4" t="s">
        <v>20</v>
      </c>
      <c r="C57" s="6">
        <v>5.79</v>
      </c>
      <c r="D57" s="6">
        <v>5.32</v>
      </c>
      <c r="E57" s="6">
        <f t="shared" si="3"/>
        <v>2453.3898305084749</v>
      </c>
      <c r="F57" s="26">
        <f t="shared" si="3"/>
        <v>2254.2372881355936</v>
      </c>
      <c r="G57" s="6">
        <f t="shared" si="4"/>
        <v>8.1174438687392048</v>
      </c>
    </row>
    <row r="58" spans="1:7" x14ac:dyDescent="0.25">
      <c r="B58" s="24" t="s">
        <v>21</v>
      </c>
      <c r="C58" s="25">
        <v>4.8499999999999996</v>
      </c>
      <c r="D58" s="25">
        <v>4.38</v>
      </c>
      <c r="E58" s="25">
        <f t="shared" si="3"/>
        <v>2055.0847457627119</v>
      </c>
      <c r="F58" s="27">
        <f t="shared" si="3"/>
        <v>1855.9322033898306</v>
      </c>
      <c r="G58" s="25">
        <f t="shared" si="4"/>
        <v>9.6907216494845354</v>
      </c>
    </row>
    <row r="59" spans="1:7" x14ac:dyDescent="0.25">
      <c r="B59" s="4" t="s">
        <v>22</v>
      </c>
      <c r="C59" s="6">
        <v>5.16</v>
      </c>
      <c r="D59" s="6">
        <v>4.6900000000000004</v>
      </c>
      <c r="E59" s="6">
        <f t="shared" si="3"/>
        <v>2186.4406779661022</v>
      </c>
      <c r="F59" s="26">
        <f t="shared" si="3"/>
        <v>1987.2881355932207</v>
      </c>
      <c r="G59" s="6">
        <f t="shared" si="4"/>
        <v>9.1085271317829513</v>
      </c>
    </row>
    <row r="61" spans="1:7" x14ac:dyDescent="0.25">
      <c r="A61" s="1" t="s">
        <v>43</v>
      </c>
    </row>
    <row r="63" spans="1:7" x14ac:dyDescent="0.25">
      <c r="A63" t="s">
        <v>44</v>
      </c>
      <c r="B63" s="30">
        <v>1</v>
      </c>
      <c r="C63" s="29" t="s">
        <v>45</v>
      </c>
      <c r="D63" s="28"/>
      <c r="E63" s="28"/>
      <c r="F63" s="28"/>
      <c r="G63" s="28"/>
    </row>
    <row r="64" spans="1:7" ht="15.75" thickBot="1" x14ac:dyDescent="0.3">
      <c r="B64" s="4"/>
      <c r="C64" s="6"/>
      <c r="D64" s="6"/>
      <c r="E64" s="6"/>
      <c r="F64" s="26"/>
      <c r="G64" s="6"/>
    </row>
    <row r="65" spans="2:8" x14ac:dyDescent="0.25">
      <c r="B65" s="37" t="s">
        <v>0</v>
      </c>
      <c r="C65" s="38" t="s">
        <v>16</v>
      </c>
      <c r="D65" s="38" t="s">
        <v>17</v>
      </c>
      <c r="E65" s="38" t="s">
        <v>47</v>
      </c>
      <c r="F65" s="39" t="s">
        <v>46</v>
      </c>
      <c r="H65" s="28"/>
    </row>
    <row r="66" spans="2:8" x14ac:dyDescent="0.25">
      <c r="B66" s="12" t="s">
        <v>18</v>
      </c>
      <c r="C66" s="8">
        <v>0.02</v>
      </c>
      <c r="D66" s="8">
        <v>0.04</v>
      </c>
      <c r="E66" s="8">
        <f>(((1)*(C66^(2)))*864)</f>
        <v>0.34560000000000002</v>
      </c>
      <c r="F66" s="13">
        <f>D66/C66</f>
        <v>2</v>
      </c>
      <c r="H66" s="6"/>
    </row>
    <row r="67" spans="2:8" x14ac:dyDescent="0.25">
      <c r="B67" s="20" t="s">
        <v>19</v>
      </c>
      <c r="C67" s="21">
        <v>0.1</v>
      </c>
      <c r="D67" s="21">
        <v>0.28000000000000003</v>
      </c>
      <c r="E67" s="21">
        <f>(((1)*(C67^(2)))*864)</f>
        <v>8.6400000000000023</v>
      </c>
      <c r="F67" s="22">
        <f>D67/C67</f>
        <v>2.8000000000000003</v>
      </c>
      <c r="H67" s="6"/>
    </row>
    <row r="68" spans="2:8" x14ac:dyDescent="0.25">
      <c r="B68" s="12" t="s">
        <v>20</v>
      </c>
      <c r="C68" s="8">
        <v>1</v>
      </c>
      <c r="D68" s="8">
        <v>10</v>
      </c>
      <c r="E68" s="8">
        <f>(((1)*(C68^(2)))*864)</f>
        <v>864</v>
      </c>
      <c r="F68" s="13">
        <f t="shared" ref="F68:F70" si="5">D68/C68</f>
        <v>10</v>
      </c>
      <c r="H68" s="6"/>
    </row>
    <row r="69" spans="2:8" x14ac:dyDescent="0.25">
      <c r="B69" s="20" t="s">
        <v>21</v>
      </c>
      <c r="C69" s="21">
        <v>0.11</v>
      </c>
      <c r="D69" s="21">
        <v>0.3</v>
      </c>
      <c r="E69" s="21">
        <f>(((1)*(C69^(2)))*864)</f>
        <v>10.4544</v>
      </c>
      <c r="F69" s="22">
        <f t="shared" si="5"/>
        <v>2.7272727272727271</v>
      </c>
      <c r="H69" s="6"/>
    </row>
    <row r="70" spans="2:8" ht="15.75" thickBot="1" x14ac:dyDescent="0.3">
      <c r="B70" s="14" t="s">
        <v>22</v>
      </c>
      <c r="C70" s="15">
        <v>0.15</v>
      </c>
      <c r="D70" s="15">
        <v>0.47499999999999998</v>
      </c>
      <c r="E70" s="15">
        <f>(((1)*(C70^(2)))*864)</f>
        <v>19.439999999999998</v>
      </c>
      <c r="F70" s="16">
        <f t="shared" si="5"/>
        <v>3.1666666666666665</v>
      </c>
      <c r="H70" s="6"/>
    </row>
    <row r="72" spans="2:8" x14ac:dyDescent="0.25">
      <c r="D72" s="1" t="s">
        <v>48</v>
      </c>
    </row>
    <row r="81" spans="1:8" ht="15.75" thickBot="1" x14ac:dyDescent="0.3">
      <c r="A81" s="1" t="s">
        <v>49</v>
      </c>
    </row>
    <row r="82" spans="1:8" x14ac:dyDescent="0.25">
      <c r="E82" s="37" t="s">
        <v>0</v>
      </c>
      <c r="F82" s="39" t="s">
        <v>47</v>
      </c>
      <c r="G82" s="28"/>
      <c r="H82" s="28"/>
    </row>
    <row r="83" spans="1:8" x14ac:dyDescent="0.25">
      <c r="A83" t="s">
        <v>53</v>
      </c>
      <c r="B83" s="2">
        <v>0.5</v>
      </c>
      <c r="C83" t="s">
        <v>7</v>
      </c>
      <c r="E83" s="12" t="s">
        <v>18</v>
      </c>
      <c r="F83" s="13">
        <f>E66</f>
        <v>0.34560000000000002</v>
      </c>
      <c r="G83" s="6"/>
      <c r="H83" s="6"/>
    </row>
    <row r="84" spans="1:8" x14ac:dyDescent="0.25">
      <c r="E84" s="20" t="s">
        <v>19</v>
      </c>
      <c r="F84" s="22">
        <f>E67</f>
        <v>8.6400000000000023</v>
      </c>
      <c r="G84" s="6"/>
      <c r="H84" s="6"/>
    </row>
    <row r="85" spans="1:8" x14ac:dyDescent="0.25">
      <c r="A85" t="s">
        <v>52</v>
      </c>
      <c r="B85" s="5">
        <f>$D$24-B83</f>
        <v>9.5</v>
      </c>
      <c r="C85" t="s">
        <v>7</v>
      </c>
      <c r="E85" s="12" t="s">
        <v>20</v>
      </c>
      <c r="F85" s="13">
        <f>E68</f>
        <v>864</v>
      </c>
      <c r="G85" s="6"/>
      <c r="H85" s="6"/>
    </row>
    <row r="86" spans="1:8" x14ac:dyDescent="0.25">
      <c r="E86" s="20" t="s">
        <v>21</v>
      </c>
      <c r="F86" s="22">
        <f>E69</f>
        <v>10.4544</v>
      </c>
      <c r="G86" s="6"/>
      <c r="H86" s="6"/>
    </row>
    <row r="87" spans="1:8" ht="15.75" thickBot="1" x14ac:dyDescent="0.3">
      <c r="A87" s="31" t="s">
        <v>50</v>
      </c>
      <c r="C87" s="6">
        <f>AVERAGE(F83:F87)</f>
        <v>180.57599999999996</v>
      </c>
      <c r="D87" t="s">
        <v>51</v>
      </c>
      <c r="E87" s="14" t="s">
        <v>22</v>
      </c>
      <c r="F87" s="16">
        <f>E70</f>
        <v>19.439999999999998</v>
      </c>
      <c r="G87" s="6"/>
      <c r="H87" s="6"/>
    </row>
    <row r="89" spans="1:8" x14ac:dyDescent="0.25">
      <c r="A89" t="s">
        <v>54</v>
      </c>
      <c r="B89">
        <f>C87*B85</f>
        <v>1715.4719999999998</v>
      </c>
      <c r="C89" t="s">
        <v>55</v>
      </c>
    </row>
    <row r="91" spans="1:8" ht="15.75" thickBot="1" x14ac:dyDescent="0.3">
      <c r="A91" s="1" t="s">
        <v>56</v>
      </c>
    </row>
    <row r="92" spans="1:8" x14ac:dyDescent="0.25">
      <c r="B92" s="37" t="s">
        <v>0</v>
      </c>
      <c r="C92" s="38" t="s">
        <v>12</v>
      </c>
      <c r="D92" s="38" t="s">
        <v>13</v>
      </c>
      <c r="E92" s="38" t="s">
        <v>58</v>
      </c>
      <c r="F92" s="38" t="s">
        <v>47</v>
      </c>
      <c r="G92" s="39" t="s">
        <v>59</v>
      </c>
    </row>
    <row r="93" spans="1:8" x14ac:dyDescent="0.25">
      <c r="B93" s="12" t="s">
        <v>18</v>
      </c>
      <c r="C93" s="8">
        <v>0.5</v>
      </c>
      <c r="D93" s="8">
        <v>1.1000000000000001</v>
      </c>
      <c r="E93" s="8">
        <f>D93-C93</f>
        <v>0.60000000000000009</v>
      </c>
      <c r="F93" s="8">
        <f>E66</f>
        <v>0.34560000000000002</v>
      </c>
      <c r="G93" s="41">
        <f>E93/F93</f>
        <v>1.7361111111111114</v>
      </c>
    </row>
    <row r="94" spans="1:8" x14ac:dyDescent="0.25">
      <c r="B94" s="20" t="s">
        <v>19</v>
      </c>
      <c r="C94" s="21">
        <v>1.1000000000000001</v>
      </c>
      <c r="D94" s="21">
        <v>3.4</v>
      </c>
      <c r="E94" s="21">
        <f>D94-C94</f>
        <v>2.2999999999999998</v>
      </c>
      <c r="F94" s="21">
        <f>E67</f>
        <v>8.6400000000000023</v>
      </c>
      <c r="G94" s="42">
        <f t="shared" ref="G94:G97" si="6">E94/F94</f>
        <v>0.26620370370370361</v>
      </c>
    </row>
    <row r="95" spans="1:8" x14ac:dyDescent="0.25">
      <c r="B95" s="12" t="s">
        <v>20</v>
      </c>
      <c r="C95" s="8">
        <v>3.4</v>
      </c>
      <c r="D95" s="8">
        <v>3.6</v>
      </c>
      <c r="E95" s="8">
        <f t="shared" ref="E95:E97" si="7">D95-C95</f>
        <v>0.20000000000000018</v>
      </c>
      <c r="F95" s="8">
        <f>E68</f>
        <v>864</v>
      </c>
      <c r="G95" s="41">
        <f t="shared" si="6"/>
        <v>2.3148148148148168E-4</v>
      </c>
    </row>
    <row r="96" spans="1:8" x14ac:dyDescent="0.25">
      <c r="B96" s="20" t="s">
        <v>21</v>
      </c>
      <c r="C96" s="21">
        <v>3.6</v>
      </c>
      <c r="D96" s="21">
        <v>8.1999999999999993</v>
      </c>
      <c r="E96" s="21">
        <f t="shared" si="7"/>
        <v>4.5999999999999996</v>
      </c>
      <c r="F96" s="21">
        <f>E69</f>
        <v>10.4544</v>
      </c>
      <c r="G96" s="42">
        <f t="shared" si="6"/>
        <v>0.4400061218243036</v>
      </c>
    </row>
    <row r="97" spans="1:8" ht="15.75" thickBot="1" x14ac:dyDescent="0.3">
      <c r="B97" s="14" t="s">
        <v>22</v>
      </c>
      <c r="C97" s="15">
        <v>8.1999999999999993</v>
      </c>
      <c r="D97" s="15">
        <v>10</v>
      </c>
      <c r="E97" s="15">
        <f t="shared" si="7"/>
        <v>1.8000000000000007</v>
      </c>
      <c r="F97" s="15">
        <f>E70</f>
        <v>19.439999999999998</v>
      </c>
      <c r="G97" s="43">
        <f t="shared" si="6"/>
        <v>9.2592592592592643E-2</v>
      </c>
    </row>
    <row r="100" spans="1:8" x14ac:dyDescent="0.25">
      <c r="D100" t="s">
        <v>62</v>
      </c>
    </row>
    <row r="106" spans="1:8" x14ac:dyDescent="0.25">
      <c r="A106" s="31" t="s">
        <v>57</v>
      </c>
      <c r="C106">
        <f>$B$85/(SUM(G93:G97))</f>
        <v>3.7473201571721688</v>
      </c>
      <c r="D106" t="s">
        <v>51</v>
      </c>
    </row>
    <row r="108" spans="1:8" x14ac:dyDescent="0.25">
      <c r="A108" t="s">
        <v>61</v>
      </c>
      <c r="B108">
        <f>C87/C106</f>
        <v>48.18803636363635</v>
      </c>
    </row>
    <row r="110" spans="1:8" ht="15.75" thickBot="1" x14ac:dyDescent="0.3">
      <c r="A110" s="1" t="s">
        <v>63</v>
      </c>
    </row>
    <row r="111" spans="1:8" x14ac:dyDescent="0.25">
      <c r="B111" s="37" t="s">
        <v>0</v>
      </c>
      <c r="C111" s="38" t="s">
        <v>12</v>
      </c>
      <c r="D111" s="38" t="s">
        <v>13</v>
      </c>
      <c r="E111" s="38" t="s">
        <v>58</v>
      </c>
      <c r="F111" s="38" t="s">
        <v>47</v>
      </c>
      <c r="G111" s="39" t="s">
        <v>59</v>
      </c>
      <c r="H111" s="28"/>
    </row>
    <row r="112" spans="1:8" x14ac:dyDescent="0.25">
      <c r="B112" s="12" t="s">
        <v>18</v>
      </c>
      <c r="C112" s="8">
        <v>0.5</v>
      </c>
      <c r="D112" s="8">
        <v>1.1000000000000001</v>
      </c>
      <c r="E112" s="8">
        <f>D112-C112</f>
        <v>0.60000000000000009</v>
      </c>
      <c r="F112" s="8">
        <f>F93</f>
        <v>0.34560000000000002</v>
      </c>
      <c r="G112" s="41">
        <f>E112/F112</f>
        <v>1.7361111111111114</v>
      </c>
      <c r="H112" s="4"/>
    </row>
    <row r="113" spans="1:8" x14ac:dyDescent="0.25">
      <c r="B113" s="20" t="s">
        <v>19</v>
      </c>
      <c r="C113" s="21">
        <v>1.1000000000000001</v>
      </c>
      <c r="D113" s="21">
        <v>3.4</v>
      </c>
      <c r="E113" s="21">
        <f t="shared" ref="E113:E117" si="8">D113-C113</f>
        <v>2.2999999999999998</v>
      </c>
      <c r="F113" s="21">
        <f>F94</f>
        <v>8.6400000000000023</v>
      </c>
      <c r="G113" s="42">
        <f t="shared" ref="G113:G117" si="9">E113/F113</f>
        <v>0.26620370370370361</v>
      </c>
      <c r="H113" s="4"/>
    </row>
    <row r="114" spans="1:8" x14ac:dyDescent="0.25">
      <c r="B114" s="12" t="s">
        <v>20</v>
      </c>
      <c r="C114" s="8">
        <v>3.4</v>
      </c>
      <c r="D114" s="8">
        <v>3.6</v>
      </c>
      <c r="E114" s="8">
        <f t="shared" si="8"/>
        <v>0.20000000000000018</v>
      </c>
      <c r="F114" s="8">
        <f>F95</f>
        <v>864</v>
      </c>
      <c r="G114" s="41">
        <f t="shared" si="9"/>
        <v>2.3148148148148168E-4</v>
      </c>
      <c r="H114" s="4"/>
    </row>
    <row r="115" spans="1:8" x14ac:dyDescent="0.25">
      <c r="B115" s="20" t="s">
        <v>64</v>
      </c>
      <c r="C115" s="21">
        <v>3.6</v>
      </c>
      <c r="D115" s="21">
        <v>3.7</v>
      </c>
      <c r="E115" s="21">
        <f t="shared" si="8"/>
        <v>0.10000000000000009</v>
      </c>
      <c r="F115" s="45">
        <v>1E-4</v>
      </c>
      <c r="G115" s="42">
        <f>E115/F115</f>
        <v>1000.0000000000008</v>
      </c>
      <c r="H115" s="4"/>
    </row>
    <row r="116" spans="1:8" x14ac:dyDescent="0.25">
      <c r="B116" s="48" t="s">
        <v>21</v>
      </c>
      <c r="C116" s="49">
        <v>3.7</v>
      </c>
      <c r="D116" s="49">
        <v>8.1999999999999993</v>
      </c>
      <c r="E116" s="49">
        <f t="shared" si="8"/>
        <v>4.4999999999999991</v>
      </c>
      <c r="F116" s="49">
        <f>F96</f>
        <v>10.4544</v>
      </c>
      <c r="G116" s="51">
        <f t="shared" si="9"/>
        <v>0.43044077134986219</v>
      </c>
      <c r="H116" s="4"/>
    </row>
    <row r="117" spans="1:8" ht="15.75" thickBot="1" x14ac:dyDescent="0.3">
      <c r="B117" s="46" t="s">
        <v>22</v>
      </c>
      <c r="C117" s="47">
        <v>8.1999999999999993</v>
      </c>
      <c r="D117" s="47">
        <v>10</v>
      </c>
      <c r="E117" s="47">
        <f t="shared" si="8"/>
        <v>1.8000000000000007</v>
      </c>
      <c r="F117" s="47">
        <f>F97</f>
        <v>19.439999999999998</v>
      </c>
      <c r="G117" s="53">
        <f t="shared" si="9"/>
        <v>9.2592592592592643E-2</v>
      </c>
      <c r="H117" s="4"/>
    </row>
    <row r="119" spans="1:8" x14ac:dyDescent="0.25">
      <c r="A119" s="33" t="s">
        <v>66</v>
      </c>
      <c r="C119" s="6">
        <f>(AVERAGE(F112:F117))</f>
        <v>150.48001666666664</v>
      </c>
      <c r="D119" t="s">
        <v>51</v>
      </c>
    </row>
    <row r="120" spans="1:8" x14ac:dyDescent="0.25">
      <c r="A120" s="33"/>
    </row>
    <row r="121" spans="1:8" x14ac:dyDescent="0.25">
      <c r="A121" s="33" t="s">
        <v>67</v>
      </c>
      <c r="C121">
        <f>$B$85/(SUM(G112:G117))</f>
        <v>9.476067436822503E-3</v>
      </c>
      <c r="D121" t="s">
        <v>51</v>
      </c>
    </row>
    <row r="123" spans="1:8" x14ac:dyDescent="0.25">
      <c r="A123" s="1" t="s">
        <v>69</v>
      </c>
    </row>
    <row r="125" spans="1:8" x14ac:dyDescent="0.25">
      <c r="A125" t="s">
        <v>65</v>
      </c>
      <c r="B125">
        <f>C119/C121</f>
        <v>15880.006940634998</v>
      </c>
    </row>
    <row r="127" spans="1:8" x14ac:dyDescent="0.25">
      <c r="A127" t="s">
        <v>68</v>
      </c>
      <c r="B127">
        <f>B125-B108</f>
        <v>15831.818904271362</v>
      </c>
    </row>
    <row r="129" spans="1:6" x14ac:dyDescent="0.25">
      <c r="A129" s="1" t="s">
        <v>70</v>
      </c>
    </row>
    <row r="131" spans="1:6" x14ac:dyDescent="0.25">
      <c r="A131" t="s">
        <v>72</v>
      </c>
      <c r="B131" s="2">
        <v>1</v>
      </c>
      <c r="C131" t="s">
        <v>73</v>
      </c>
    </row>
    <row r="132" spans="1:6" x14ac:dyDescent="0.25">
      <c r="B132">
        <f>B131*1000000</f>
        <v>1000000</v>
      </c>
      <c r="C132" t="s">
        <v>74</v>
      </c>
    </row>
    <row r="134" spans="1:6" x14ac:dyDescent="0.25">
      <c r="A134" t="s">
        <v>75</v>
      </c>
      <c r="B134">
        <v>0.75</v>
      </c>
      <c r="C134" t="s">
        <v>7</v>
      </c>
    </row>
    <row r="135" spans="1:6" ht="15.75" thickBot="1" x14ac:dyDescent="0.3"/>
    <row r="136" spans="1:6" x14ac:dyDescent="0.25">
      <c r="B136" s="37" t="s">
        <v>0</v>
      </c>
      <c r="C136" s="38" t="s">
        <v>71</v>
      </c>
      <c r="D136" s="38" t="s">
        <v>58</v>
      </c>
      <c r="E136" s="39" t="s">
        <v>81</v>
      </c>
      <c r="F136" s="28"/>
    </row>
    <row r="137" spans="1:6" x14ac:dyDescent="0.25">
      <c r="B137" s="12" t="s">
        <v>18</v>
      </c>
      <c r="C137" s="44">
        <f>$G$33/100</f>
        <v>0.20338983050847478</v>
      </c>
      <c r="D137" s="8">
        <f>E112</f>
        <v>0.60000000000000009</v>
      </c>
      <c r="E137" s="13">
        <f>$B$132*$B$134*C137*D137</f>
        <v>91525.423728813665</v>
      </c>
      <c r="F137" s="26"/>
    </row>
    <row r="138" spans="1:6" x14ac:dyDescent="0.25">
      <c r="B138" s="20" t="s">
        <v>19</v>
      </c>
      <c r="C138" s="45">
        <f>$G$34/100</f>
        <v>0.19915254237288132</v>
      </c>
      <c r="D138" s="21">
        <f t="shared" ref="D138:D139" si="10">E113</f>
        <v>2.2999999999999998</v>
      </c>
      <c r="E138" s="22">
        <f>$B$132*$B$134*C138*D138</f>
        <v>343538.13559322024</v>
      </c>
      <c r="F138" s="26"/>
    </row>
    <row r="139" spans="1:6" x14ac:dyDescent="0.25">
      <c r="B139" s="12" t="s">
        <v>20</v>
      </c>
      <c r="C139" s="44">
        <f>$G$35/100</f>
        <v>0.19915254237288132</v>
      </c>
      <c r="D139" s="8">
        <f t="shared" si="10"/>
        <v>0.20000000000000018</v>
      </c>
      <c r="E139" s="13">
        <f t="shared" ref="E139:E140" si="11">$B$132*$B$134*C139*D139</f>
        <v>29872.881355932223</v>
      </c>
      <c r="F139" s="26"/>
    </row>
    <row r="140" spans="1:6" x14ac:dyDescent="0.25">
      <c r="B140" s="20" t="s">
        <v>21</v>
      </c>
      <c r="C140" s="45">
        <f>$G$36/100</f>
        <v>0.19915254237288132</v>
      </c>
      <c r="D140" s="21">
        <f>E116</f>
        <v>4.4999999999999991</v>
      </c>
      <c r="E140" s="22">
        <f t="shared" si="11"/>
        <v>672139.83050847426</v>
      </c>
      <c r="F140" s="26"/>
    </row>
    <row r="141" spans="1:6" ht="15.75" thickBot="1" x14ac:dyDescent="0.3">
      <c r="B141" s="14" t="s">
        <v>22</v>
      </c>
      <c r="C141" s="54">
        <f>$G$37/100</f>
        <v>0.19915254237288132</v>
      </c>
      <c r="D141" s="15">
        <f>E117</f>
        <v>1.8000000000000007</v>
      </c>
      <c r="E141" s="16">
        <f>$B$132*$B$134*C141*D141</f>
        <v>268855.93220338988</v>
      </c>
      <c r="F141" s="26"/>
    </row>
    <row r="142" spans="1:6" x14ac:dyDescent="0.25">
      <c r="D142" s="6"/>
      <c r="E142" s="6"/>
    </row>
    <row r="143" spans="1:6" x14ac:dyDescent="0.25">
      <c r="A143" t="s">
        <v>82</v>
      </c>
      <c r="B143" s="3">
        <f>SUM(E137:E141)</f>
        <v>1405932.2033898302</v>
      </c>
      <c r="C143" t="s">
        <v>10</v>
      </c>
    </row>
    <row r="162" spans="1:3" ht="15.75" thickBot="1" x14ac:dyDescent="0.3">
      <c r="A162" s="1" t="s">
        <v>77</v>
      </c>
    </row>
    <row r="163" spans="1:3" x14ac:dyDescent="0.25">
      <c r="B163" s="37" t="s">
        <v>78</v>
      </c>
      <c r="C163" s="39" t="s">
        <v>79</v>
      </c>
    </row>
    <row r="164" spans="1:3" x14ac:dyDescent="0.25">
      <c r="B164" s="12">
        <v>0.5</v>
      </c>
      <c r="C164" s="41">
        <f>181*(10-B164)</f>
        <v>1719.5</v>
      </c>
    </row>
    <row r="165" spans="1:3" x14ac:dyDescent="0.25">
      <c r="B165" s="20">
        <v>1.5</v>
      </c>
      <c r="C165" s="42">
        <f t="shared" ref="C165:C173" si="12">181*(10-B165)</f>
        <v>1538.5</v>
      </c>
    </row>
    <row r="166" spans="1:3" x14ac:dyDescent="0.25">
      <c r="B166" s="12">
        <v>2.5</v>
      </c>
      <c r="C166" s="41">
        <f t="shared" si="12"/>
        <v>1357.5</v>
      </c>
    </row>
    <row r="167" spans="1:3" x14ac:dyDescent="0.25">
      <c r="B167" s="20">
        <v>3.5</v>
      </c>
      <c r="C167" s="42">
        <f t="shared" si="12"/>
        <v>1176.5</v>
      </c>
    </row>
    <row r="168" spans="1:3" x14ac:dyDescent="0.25">
      <c r="B168" s="12">
        <v>4.5</v>
      </c>
      <c r="C168" s="41">
        <f t="shared" si="12"/>
        <v>995.5</v>
      </c>
    </row>
    <row r="169" spans="1:3" x14ac:dyDescent="0.25">
      <c r="B169" s="20">
        <v>5.5</v>
      </c>
      <c r="C169" s="42">
        <f t="shared" si="12"/>
        <v>814.5</v>
      </c>
    </row>
    <row r="170" spans="1:3" x14ac:dyDescent="0.25">
      <c r="B170" s="12">
        <v>6.5</v>
      </c>
      <c r="C170" s="41">
        <f t="shared" si="12"/>
        <v>633.5</v>
      </c>
    </row>
    <row r="171" spans="1:3" x14ac:dyDescent="0.25">
      <c r="B171" s="20">
        <v>7.5</v>
      </c>
      <c r="C171" s="42">
        <f t="shared" si="12"/>
        <v>452.5</v>
      </c>
    </row>
    <row r="172" spans="1:3" x14ac:dyDescent="0.25">
      <c r="B172" s="12">
        <v>8.5</v>
      </c>
      <c r="C172" s="41">
        <f t="shared" si="12"/>
        <v>271.5</v>
      </c>
    </row>
    <row r="173" spans="1:3" ht="15.75" thickBot="1" x14ac:dyDescent="0.3">
      <c r="B173" s="46">
        <v>9.5</v>
      </c>
      <c r="C173" s="53">
        <f t="shared" si="12"/>
        <v>90.5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7453-5B7E-4205-919D-83030D0902C1}">
  <dimension ref="A1:Q192"/>
  <sheetViews>
    <sheetView tabSelected="1" topLeftCell="A46" zoomScale="40" zoomScaleNormal="40" workbookViewId="0">
      <selection activeCell="I144" sqref="I144"/>
    </sheetView>
  </sheetViews>
  <sheetFormatPr defaultRowHeight="15" x14ac:dyDescent="0.25"/>
  <cols>
    <col min="1" max="1" width="22.7109375" bestFit="1" customWidth="1"/>
    <col min="2" max="2" width="35.28515625" bestFit="1" customWidth="1"/>
    <col min="3" max="3" width="26.85546875" bestFit="1" customWidth="1"/>
    <col min="4" max="4" width="26.140625" bestFit="1" customWidth="1"/>
    <col min="5" max="6" width="37.140625" bestFit="1" customWidth="1"/>
    <col min="7" max="7" width="28.5703125" bestFit="1" customWidth="1"/>
    <col min="8" max="8" width="17.42578125" bestFit="1" customWidth="1"/>
    <col min="9" max="9" width="37.140625" bestFit="1" customWidth="1"/>
    <col min="10" max="10" width="11.140625" customWidth="1"/>
    <col min="12" max="12" width="10.140625" bestFit="1" customWidth="1"/>
    <col min="13" max="13" width="27.140625" bestFit="1" customWidth="1"/>
    <col min="14" max="14" width="28.5703125" bestFit="1" customWidth="1"/>
    <col min="15" max="15" width="17.42578125" customWidth="1"/>
    <col min="16" max="16" width="37.140625" bestFit="1" customWidth="1"/>
    <col min="17" max="17" width="11.140625" bestFit="1" customWidth="1"/>
  </cols>
  <sheetData>
    <row r="1" spans="1:4" x14ac:dyDescent="0.25">
      <c r="A1" s="1" t="s">
        <v>1</v>
      </c>
    </row>
    <row r="2" spans="1:4" x14ac:dyDescent="0.25">
      <c r="A2" s="1" t="s">
        <v>2</v>
      </c>
    </row>
    <row r="4" spans="1:4" x14ac:dyDescent="0.25">
      <c r="A4" t="s">
        <v>3</v>
      </c>
      <c r="B4" t="s">
        <v>4</v>
      </c>
    </row>
    <row r="6" spans="1:4" x14ac:dyDescent="0.25">
      <c r="A6" t="s">
        <v>26</v>
      </c>
      <c r="B6" s="2">
        <v>100</v>
      </c>
      <c r="C6" t="s">
        <v>25</v>
      </c>
    </row>
    <row r="7" spans="1:4" x14ac:dyDescent="0.25">
      <c r="B7">
        <f>B6/1000</f>
        <v>0.1</v>
      </c>
      <c r="C7" t="s">
        <v>7</v>
      </c>
    </row>
    <row r="9" spans="1:4" x14ac:dyDescent="0.25">
      <c r="A9" t="s">
        <v>5</v>
      </c>
      <c r="B9" s="2">
        <v>30</v>
      </c>
      <c r="C9" t="s">
        <v>6</v>
      </c>
    </row>
    <row r="10" spans="1:4" x14ac:dyDescent="0.25">
      <c r="B10">
        <f>B9/100</f>
        <v>0.3</v>
      </c>
      <c r="C10" t="s">
        <v>7</v>
      </c>
    </row>
    <row r="12" spans="1:4" x14ac:dyDescent="0.25">
      <c r="A12" t="s">
        <v>8</v>
      </c>
      <c r="B12" s="2">
        <v>2.36</v>
      </c>
      <c r="C12" t="s">
        <v>9</v>
      </c>
      <c r="D12" t="e" vm="1">
        <v>#VALUE!</v>
      </c>
    </row>
    <row r="13" spans="1:4" x14ac:dyDescent="0.25">
      <c r="B13" s="3">
        <f>B12/1000</f>
        <v>2.3599999999999997E-3</v>
      </c>
      <c r="C13" t="s">
        <v>10</v>
      </c>
    </row>
    <row r="15" spans="1:4" x14ac:dyDescent="0.25">
      <c r="A15" t="s">
        <v>27</v>
      </c>
      <c r="B15" s="3">
        <f>PI()*((B7/2)^2)*B10</f>
        <v>2.3561944901923449E-3</v>
      </c>
      <c r="C15" t="s">
        <v>10</v>
      </c>
      <c r="D15" t="s">
        <v>28</v>
      </c>
    </row>
    <row r="18" spans="1:8" ht="15.75" thickBot="1" x14ac:dyDescent="0.3">
      <c r="A18" t="s">
        <v>11</v>
      </c>
    </row>
    <row r="19" spans="1:8" ht="15.75" thickBot="1" x14ac:dyDescent="0.3">
      <c r="B19" s="17" t="s">
        <v>0</v>
      </c>
      <c r="C19" s="18" t="s">
        <v>12</v>
      </c>
      <c r="D19" s="18" t="s">
        <v>13</v>
      </c>
      <c r="E19" s="18" t="s">
        <v>14</v>
      </c>
      <c r="F19" s="18" t="s">
        <v>15</v>
      </c>
      <c r="G19" s="18" t="s">
        <v>16</v>
      </c>
      <c r="H19" s="19" t="s">
        <v>17</v>
      </c>
    </row>
    <row r="20" spans="1:8" x14ac:dyDescent="0.25">
      <c r="B20" s="10" t="s">
        <v>18</v>
      </c>
      <c r="C20" s="9">
        <v>0.5</v>
      </c>
      <c r="D20" s="9">
        <v>1.1000000000000001</v>
      </c>
      <c r="E20" s="9">
        <v>5.48</v>
      </c>
      <c r="F20" s="9">
        <v>5</v>
      </c>
      <c r="G20" s="9">
        <v>0.02</v>
      </c>
      <c r="H20" s="11">
        <v>0.04</v>
      </c>
    </row>
    <row r="21" spans="1:8" x14ac:dyDescent="0.25">
      <c r="B21" s="20" t="s">
        <v>19</v>
      </c>
      <c r="C21" s="21">
        <v>1.1000000000000001</v>
      </c>
      <c r="D21" s="21">
        <v>3.4</v>
      </c>
      <c r="E21" s="21">
        <v>4.54</v>
      </c>
      <c r="F21" s="21">
        <v>4.07</v>
      </c>
      <c r="G21" s="21">
        <v>0.1</v>
      </c>
      <c r="H21" s="22">
        <v>0.28000000000000003</v>
      </c>
    </row>
    <row r="22" spans="1:8" x14ac:dyDescent="0.25">
      <c r="B22" s="12" t="s">
        <v>20</v>
      </c>
      <c r="C22" s="8">
        <v>3.4</v>
      </c>
      <c r="D22" s="8">
        <v>3.6</v>
      </c>
      <c r="E22" s="8">
        <v>5.79</v>
      </c>
      <c r="F22" s="8">
        <v>5.32</v>
      </c>
      <c r="G22" s="8">
        <v>1</v>
      </c>
      <c r="H22" s="13">
        <v>10</v>
      </c>
    </row>
    <row r="23" spans="1:8" x14ac:dyDescent="0.25">
      <c r="B23" s="20" t="s">
        <v>21</v>
      </c>
      <c r="C23" s="21">
        <v>3.6</v>
      </c>
      <c r="D23" s="21">
        <v>8.1999999999999993</v>
      </c>
      <c r="E23" s="21">
        <v>4.8499999999999996</v>
      </c>
      <c r="F23" s="21">
        <v>4.38</v>
      </c>
      <c r="G23" s="21">
        <v>0.11</v>
      </c>
      <c r="H23" s="22">
        <v>0.3</v>
      </c>
    </row>
    <row r="24" spans="1:8" ht="15.75" thickBot="1" x14ac:dyDescent="0.3">
      <c r="B24" s="14" t="s">
        <v>22</v>
      </c>
      <c r="C24" s="15">
        <v>8.1999999999999993</v>
      </c>
      <c r="D24" s="15">
        <v>10</v>
      </c>
      <c r="E24" s="15">
        <v>5.16</v>
      </c>
      <c r="F24" s="15">
        <v>4.6900000000000004</v>
      </c>
      <c r="G24" s="15">
        <v>0.15</v>
      </c>
      <c r="H24" s="16">
        <v>0.47499999999999998</v>
      </c>
    </row>
    <row r="26" spans="1:8" x14ac:dyDescent="0.25">
      <c r="B26" s="4" t="s">
        <v>23</v>
      </c>
      <c r="C26" t="s">
        <v>24</v>
      </c>
    </row>
    <row r="28" spans="1:8" x14ac:dyDescent="0.25">
      <c r="A28" s="1" t="s">
        <v>29</v>
      </c>
    </row>
    <row r="30" spans="1:8" x14ac:dyDescent="0.25">
      <c r="A30" t="s">
        <v>32</v>
      </c>
      <c r="B30">
        <v>1000</v>
      </c>
      <c r="C30" t="s">
        <v>33</v>
      </c>
    </row>
    <row r="31" spans="1:8" ht="15.75" thickBot="1" x14ac:dyDescent="0.3"/>
    <row r="32" spans="1:8" x14ac:dyDescent="0.25">
      <c r="B32" s="37" t="s">
        <v>0</v>
      </c>
      <c r="C32" s="38" t="s">
        <v>14</v>
      </c>
      <c r="D32" s="38" t="s">
        <v>15</v>
      </c>
      <c r="E32" s="38" t="s">
        <v>31</v>
      </c>
      <c r="F32" s="38" t="s">
        <v>34</v>
      </c>
      <c r="G32" s="39" t="s">
        <v>35</v>
      </c>
    </row>
    <row r="33" spans="2:7" x14ac:dyDescent="0.25">
      <c r="B33" s="12" t="s">
        <v>18</v>
      </c>
      <c r="C33" s="8">
        <v>5.48</v>
      </c>
      <c r="D33" s="8">
        <v>5</v>
      </c>
      <c r="E33" s="8">
        <f>C33-D33</f>
        <v>0.48000000000000043</v>
      </c>
      <c r="F33" s="34">
        <f>E33/$B$30</f>
        <v>4.8000000000000045E-4</v>
      </c>
      <c r="G33" s="13">
        <f>(F33/$B$13)*100</f>
        <v>20.338983050847478</v>
      </c>
    </row>
    <row r="34" spans="2:7" x14ac:dyDescent="0.25">
      <c r="B34" s="20" t="s">
        <v>19</v>
      </c>
      <c r="C34" s="21">
        <v>4.54</v>
      </c>
      <c r="D34" s="21">
        <v>4.07</v>
      </c>
      <c r="E34" s="21">
        <f>C34-D34</f>
        <v>0.46999999999999975</v>
      </c>
      <c r="F34" s="36">
        <f>E34/$B$30</f>
        <v>4.6999999999999977E-4</v>
      </c>
      <c r="G34" s="22">
        <f>(F34/$B$13)*100</f>
        <v>19.915254237288131</v>
      </c>
    </row>
    <row r="35" spans="2:7" x14ac:dyDescent="0.25">
      <c r="B35" s="12" t="s">
        <v>20</v>
      </c>
      <c r="C35" s="8">
        <v>5.79</v>
      </c>
      <c r="D35" s="8">
        <v>5.32</v>
      </c>
      <c r="E35" s="8">
        <f>C35-D35</f>
        <v>0.46999999999999975</v>
      </c>
      <c r="F35" s="34">
        <f t="shared" ref="F35:F37" si="0">E35/$B$30</f>
        <v>4.6999999999999977E-4</v>
      </c>
      <c r="G35" s="13">
        <f t="shared" ref="G35:G37" si="1">(F35/$B$13)*100</f>
        <v>19.915254237288131</v>
      </c>
    </row>
    <row r="36" spans="2:7" x14ac:dyDescent="0.25">
      <c r="B36" s="20" t="s">
        <v>21</v>
      </c>
      <c r="C36" s="21">
        <v>4.8499999999999996</v>
      </c>
      <c r="D36" s="21">
        <v>4.38</v>
      </c>
      <c r="E36" s="21">
        <f>C36-D36</f>
        <v>0.46999999999999975</v>
      </c>
      <c r="F36" s="36">
        <f t="shared" si="0"/>
        <v>4.6999999999999977E-4</v>
      </c>
      <c r="G36" s="22">
        <f t="shared" si="1"/>
        <v>19.915254237288131</v>
      </c>
    </row>
    <row r="37" spans="2:7" ht="15.75" thickBot="1" x14ac:dyDescent="0.3">
      <c r="B37" s="14" t="s">
        <v>22</v>
      </c>
      <c r="C37" s="15">
        <v>5.16</v>
      </c>
      <c r="D37" s="15">
        <v>4.6900000000000004</v>
      </c>
      <c r="E37" s="15">
        <f t="shared" ref="E37" si="2">C37-D37</f>
        <v>0.46999999999999975</v>
      </c>
      <c r="F37" s="40">
        <f t="shared" si="0"/>
        <v>4.6999999999999977E-4</v>
      </c>
      <c r="G37" s="16">
        <f t="shared" si="1"/>
        <v>19.915254237288131</v>
      </c>
    </row>
    <row r="39" spans="2:7" x14ac:dyDescent="0.25">
      <c r="D39" t="s">
        <v>30</v>
      </c>
    </row>
    <row r="40" spans="2:7" x14ac:dyDescent="0.25">
      <c r="D40" t="s">
        <v>36</v>
      </c>
    </row>
    <row r="42" spans="2:7" x14ac:dyDescent="0.25">
      <c r="D42" t="s">
        <v>37</v>
      </c>
    </row>
    <row r="44" spans="2:7" x14ac:dyDescent="0.25">
      <c r="D44" t="s">
        <v>38</v>
      </c>
    </row>
    <row r="46" spans="2:7" x14ac:dyDescent="0.25">
      <c r="D46" t="s">
        <v>42</v>
      </c>
    </row>
    <row r="52" spans="1:7" x14ac:dyDescent="0.25">
      <c r="A52" t="s">
        <v>39</v>
      </c>
    </row>
    <row r="54" spans="1:7" x14ac:dyDescent="0.25">
      <c r="B54" s="23" t="s">
        <v>0</v>
      </c>
      <c r="C54" s="23" t="s">
        <v>14</v>
      </c>
      <c r="D54" s="23" t="s">
        <v>15</v>
      </c>
      <c r="E54" s="23" t="s">
        <v>40</v>
      </c>
      <c r="F54" s="23" t="s">
        <v>41</v>
      </c>
      <c r="G54" s="23" t="s">
        <v>35</v>
      </c>
    </row>
    <row r="55" spans="1:7" x14ac:dyDescent="0.25">
      <c r="B55" s="4" t="s">
        <v>18</v>
      </c>
      <c r="C55" s="6">
        <v>5.48</v>
      </c>
      <c r="D55" s="6">
        <v>5</v>
      </c>
      <c r="E55" s="6">
        <f>C55/$B$13</f>
        <v>2322.0338983050851</v>
      </c>
      <c r="F55" s="26">
        <f>D55/$B$13</f>
        <v>2118.6440677966107</v>
      </c>
      <c r="G55" s="6">
        <f>(1 -(F55/E55))*100</f>
        <v>8.7591240875912302</v>
      </c>
    </row>
    <row r="56" spans="1:7" x14ac:dyDescent="0.25">
      <c r="B56" s="24" t="s">
        <v>19</v>
      </c>
      <c r="C56" s="25">
        <v>4.54</v>
      </c>
      <c r="D56" s="25">
        <v>4.07</v>
      </c>
      <c r="E56" s="25">
        <f t="shared" ref="E56:F59" si="3">C56/$B$13</f>
        <v>1923.7288135593224</v>
      </c>
      <c r="F56" s="27">
        <f t="shared" si="3"/>
        <v>1724.5762711864411</v>
      </c>
      <c r="G56" s="25">
        <f t="shared" ref="G56:G59" si="4">(1 -(F56/E56))*100</f>
        <v>10.352422907488979</v>
      </c>
    </row>
    <row r="57" spans="1:7" x14ac:dyDescent="0.25">
      <c r="B57" s="4" t="s">
        <v>20</v>
      </c>
      <c r="C57" s="6">
        <v>5.79</v>
      </c>
      <c r="D57" s="6">
        <v>5.32</v>
      </c>
      <c r="E57" s="6">
        <f t="shared" si="3"/>
        <v>2453.3898305084749</v>
      </c>
      <c r="F57" s="26">
        <f t="shared" si="3"/>
        <v>2254.2372881355936</v>
      </c>
      <c r="G57" s="6">
        <f t="shared" si="4"/>
        <v>8.1174438687392048</v>
      </c>
    </row>
    <row r="58" spans="1:7" x14ac:dyDescent="0.25">
      <c r="B58" s="24" t="s">
        <v>21</v>
      </c>
      <c r="C58" s="25">
        <v>4.8499999999999996</v>
      </c>
      <c r="D58" s="25">
        <v>4.38</v>
      </c>
      <c r="E58" s="25">
        <f t="shared" si="3"/>
        <v>2055.0847457627119</v>
      </c>
      <c r="F58" s="27">
        <f t="shared" si="3"/>
        <v>1855.9322033898306</v>
      </c>
      <c r="G58" s="25">
        <f t="shared" si="4"/>
        <v>9.6907216494845354</v>
      </c>
    </row>
    <row r="59" spans="1:7" x14ac:dyDescent="0.25">
      <c r="B59" s="4" t="s">
        <v>22</v>
      </c>
      <c r="C59" s="6">
        <v>5.16</v>
      </c>
      <c r="D59" s="6">
        <v>4.6900000000000004</v>
      </c>
      <c r="E59" s="6">
        <f t="shared" si="3"/>
        <v>2186.4406779661022</v>
      </c>
      <c r="F59" s="26">
        <f t="shared" si="3"/>
        <v>1987.2881355932207</v>
      </c>
      <c r="G59" s="6">
        <f t="shared" si="4"/>
        <v>9.1085271317829513</v>
      </c>
    </row>
    <row r="61" spans="1:7" x14ac:dyDescent="0.25">
      <c r="A61" s="1" t="s">
        <v>43</v>
      </c>
    </row>
    <row r="63" spans="1:7" x14ac:dyDescent="0.25">
      <c r="A63" t="s">
        <v>44</v>
      </c>
      <c r="B63" s="30">
        <v>1</v>
      </c>
      <c r="C63" s="29" t="s">
        <v>45</v>
      </c>
      <c r="D63" s="28"/>
      <c r="E63" s="28"/>
      <c r="F63" s="28"/>
      <c r="G63" s="28"/>
    </row>
    <row r="64" spans="1:7" ht="15.75" thickBot="1" x14ac:dyDescent="0.3">
      <c r="B64" s="4"/>
      <c r="C64" s="6"/>
      <c r="D64" s="6"/>
      <c r="E64" s="6"/>
      <c r="F64" s="26"/>
      <c r="G64" s="6"/>
    </row>
    <row r="65" spans="2:8" x14ac:dyDescent="0.25">
      <c r="B65" s="37" t="s">
        <v>0</v>
      </c>
      <c r="C65" s="38" t="s">
        <v>16</v>
      </c>
      <c r="D65" s="38" t="s">
        <v>17</v>
      </c>
      <c r="E65" s="38" t="s">
        <v>47</v>
      </c>
      <c r="F65" s="39" t="s">
        <v>46</v>
      </c>
      <c r="H65" s="28"/>
    </row>
    <row r="66" spans="2:8" x14ac:dyDescent="0.25">
      <c r="B66" s="12" t="s">
        <v>18</v>
      </c>
      <c r="C66" s="8">
        <v>0.02</v>
      </c>
      <c r="D66" s="8">
        <v>0.04</v>
      </c>
      <c r="E66" s="8">
        <f>(((1)*(C66^(2)))*864)</f>
        <v>0.34560000000000002</v>
      </c>
      <c r="F66" s="13">
        <f>D66/C66</f>
        <v>2</v>
      </c>
      <c r="H66" s="6"/>
    </row>
    <row r="67" spans="2:8" x14ac:dyDescent="0.25">
      <c r="B67" s="20" t="s">
        <v>19</v>
      </c>
      <c r="C67" s="21">
        <v>0.1</v>
      </c>
      <c r="D67" s="21">
        <v>0.28000000000000003</v>
      </c>
      <c r="E67" s="21">
        <f>(((1)*(C67^(2)))*864)</f>
        <v>8.6400000000000023</v>
      </c>
      <c r="F67" s="22">
        <f>D67/C67</f>
        <v>2.8000000000000003</v>
      </c>
      <c r="H67" s="6"/>
    </row>
    <row r="68" spans="2:8" x14ac:dyDescent="0.25">
      <c r="B68" s="12" t="s">
        <v>20</v>
      </c>
      <c r="C68" s="8">
        <v>1</v>
      </c>
      <c r="D68" s="8">
        <v>10</v>
      </c>
      <c r="E68" s="8">
        <f>(((1)*(C68^(2)))*864)</f>
        <v>864</v>
      </c>
      <c r="F68" s="13">
        <f t="shared" ref="F68:F70" si="5">D68/C68</f>
        <v>10</v>
      </c>
      <c r="H68" s="6"/>
    </row>
    <row r="69" spans="2:8" x14ac:dyDescent="0.25">
      <c r="B69" s="20" t="s">
        <v>21</v>
      </c>
      <c r="C69" s="21">
        <v>0.11</v>
      </c>
      <c r="D69" s="21">
        <v>0.3</v>
      </c>
      <c r="E69" s="21">
        <f>(((1)*(C69^(2)))*864)</f>
        <v>10.4544</v>
      </c>
      <c r="F69" s="22">
        <f t="shared" si="5"/>
        <v>2.7272727272727271</v>
      </c>
      <c r="H69" s="6"/>
    </row>
    <row r="70" spans="2:8" ht="15.75" thickBot="1" x14ac:dyDescent="0.3">
      <c r="B70" s="14" t="s">
        <v>22</v>
      </c>
      <c r="C70" s="15">
        <v>0.15</v>
      </c>
      <c r="D70" s="15">
        <v>0.47499999999999998</v>
      </c>
      <c r="E70" s="15">
        <f>(((1)*(C70^(2)))*864)</f>
        <v>19.439999999999998</v>
      </c>
      <c r="F70" s="16">
        <f t="shared" si="5"/>
        <v>3.1666666666666665</v>
      </c>
      <c r="H70" s="6"/>
    </row>
    <row r="72" spans="2:8" x14ac:dyDescent="0.25">
      <c r="D72" s="1" t="s">
        <v>48</v>
      </c>
    </row>
    <row r="81" spans="1:10" ht="15.75" thickBot="1" x14ac:dyDescent="0.3">
      <c r="A81" s="1" t="s">
        <v>49</v>
      </c>
    </row>
    <row r="82" spans="1:10" x14ac:dyDescent="0.25">
      <c r="E82" s="37" t="s">
        <v>0</v>
      </c>
      <c r="F82" s="38" t="s">
        <v>12</v>
      </c>
      <c r="G82" s="38" t="s">
        <v>13</v>
      </c>
      <c r="H82" s="38" t="s">
        <v>58</v>
      </c>
      <c r="I82" s="38" t="s">
        <v>47</v>
      </c>
      <c r="J82" s="39" t="s">
        <v>83</v>
      </c>
    </row>
    <row r="83" spans="1:10" x14ac:dyDescent="0.25">
      <c r="A83" t="s">
        <v>53</v>
      </c>
      <c r="B83" s="2">
        <v>0.5</v>
      </c>
      <c r="C83" t="s">
        <v>7</v>
      </c>
      <c r="E83" s="12" t="s">
        <v>18</v>
      </c>
      <c r="F83" s="8">
        <v>0.5</v>
      </c>
      <c r="G83" s="8">
        <v>1.1000000000000001</v>
      </c>
      <c r="H83" s="8">
        <f>G83-F83</f>
        <v>0.60000000000000009</v>
      </c>
      <c r="I83" s="8">
        <f>E66</f>
        <v>0.34560000000000002</v>
      </c>
      <c r="J83" s="13">
        <f>H83*I83</f>
        <v>0.20736000000000004</v>
      </c>
    </row>
    <row r="84" spans="1:10" x14ac:dyDescent="0.25">
      <c r="E84" s="20" t="s">
        <v>19</v>
      </c>
      <c r="F84" s="21">
        <v>1.1000000000000001</v>
      </c>
      <c r="G84" s="21">
        <v>3.4</v>
      </c>
      <c r="H84" s="21">
        <f>G84-F84</f>
        <v>2.2999999999999998</v>
      </c>
      <c r="I84" s="21">
        <f>E67</f>
        <v>8.6400000000000023</v>
      </c>
      <c r="J84" s="22">
        <f t="shared" ref="J84:J87" si="6">H84*I84</f>
        <v>19.872000000000003</v>
      </c>
    </row>
    <row r="85" spans="1:10" x14ac:dyDescent="0.25">
      <c r="A85" t="s">
        <v>52</v>
      </c>
      <c r="B85" s="5">
        <f>$D$24-B83</f>
        <v>9.5</v>
      </c>
      <c r="C85" t="s">
        <v>7</v>
      </c>
      <c r="E85" s="12" t="s">
        <v>20</v>
      </c>
      <c r="F85" s="8">
        <v>3.4</v>
      </c>
      <c r="G85" s="8">
        <v>3.6</v>
      </c>
      <c r="H85" s="8">
        <f t="shared" ref="H85:H86" si="7">G85-F85</f>
        <v>0.20000000000000018</v>
      </c>
      <c r="I85" s="8">
        <f>E68</f>
        <v>864</v>
      </c>
      <c r="J85" s="13">
        <f t="shared" si="6"/>
        <v>172.80000000000015</v>
      </c>
    </row>
    <row r="86" spans="1:10" x14ac:dyDescent="0.25">
      <c r="E86" s="20" t="s">
        <v>21</v>
      </c>
      <c r="F86" s="21">
        <v>3.6</v>
      </c>
      <c r="G86" s="21">
        <v>8.1999999999999993</v>
      </c>
      <c r="H86" s="21">
        <f t="shared" si="7"/>
        <v>4.5999999999999996</v>
      </c>
      <c r="I86" s="21">
        <f>E69</f>
        <v>10.4544</v>
      </c>
      <c r="J86" s="22">
        <f t="shared" si="6"/>
        <v>48.090239999999994</v>
      </c>
    </row>
    <row r="87" spans="1:10" ht="15.75" thickBot="1" x14ac:dyDescent="0.3">
      <c r="A87" s="31" t="s">
        <v>50</v>
      </c>
      <c r="C87" s="6">
        <f>(SUM(J83:J87))/B85</f>
        <v>29.048589473684228</v>
      </c>
      <c r="D87" t="s">
        <v>51</v>
      </c>
      <c r="E87" s="14" t="s">
        <v>22</v>
      </c>
      <c r="F87" s="15">
        <v>8.1999999999999993</v>
      </c>
      <c r="G87" s="15">
        <v>10</v>
      </c>
      <c r="H87" s="15">
        <f>G87-F87</f>
        <v>1.8000000000000007</v>
      </c>
      <c r="I87" s="15">
        <f>E70</f>
        <v>19.439999999999998</v>
      </c>
      <c r="J87" s="16">
        <f>H87*I87</f>
        <v>34.992000000000012</v>
      </c>
    </row>
    <row r="89" spans="1:10" x14ac:dyDescent="0.25">
      <c r="A89" t="s">
        <v>54</v>
      </c>
      <c r="B89">
        <f>C87*B85</f>
        <v>275.96160000000015</v>
      </c>
      <c r="C89" t="s">
        <v>55</v>
      </c>
      <c r="D89" s="5"/>
    </row>
    <row r="91" spans="1:10" ht="15.75" thickBot="1" x14ac:dyDescent="0.3">
      <c r="A91" s="1" t="s">
        <v>56</v>
      </c>
    </row>
    <row r="92" spans="1:10" x14ac:dyDescent="0.25">
      <c r="B92" s="37" t="s">
        <v>0</v>
      </c>
      <c r="C92" s="38" t="s">
        <v>12</v>
      </c>
      <c r="D92" s="38" t="s">
        <v>13</v>
      </c>
      <c r="E92" s="38" t="s">
        <v>58</v>
      </c>
      <c r="F92" s="38" t="s">
        <v>47</v>
      </c>
      <c r="G92" s="39" t="s">
        <v>59</v>
      </c>
    </row>
    <row r="93" spans="1:10" x14ac:dyDescent="0.25">
      <c r="B93" s="12" t="s">
        <v>18</v>
      </c>
      <c r="C93" s="8">
        <v>0.5</v>
      </c>
      <c r="D93" s="8">
        <v>1.1000000000000001</v>
      </c>
      <c r="E93" s="8">
        <f>D93-C93</f>
        <v>0.60000000000000009</v>
      </c>
      <c r="F93" s="8">
        <f>E66</f>
        <v>0.34560000000000002</v>
      </c>
      <c r="G93" s="41">
        <f>E93/F93</f>
        <v>1.7361111111111114</v>
      </c>
    </row>
    <row r="94" spans="1:10" x14ac:dyDescent="0.25">
      <c r="B94" s="20" t="s">
        <v>19</v>
      </c>
      <c r="C94" s="21">
        <v>1.1000000000000001</v>
      </c>
      <c r="D94" s="21">
        <v>3.4</v>
      </c>
      <c r="E94" s="21">
        <f>D94-C94</f>
        <v>2.2999999999999998</v>
      </c>
      <c r="F94" s="21">
        <f>E67</f>
        <v>8.6400000000000023</v>
      </c>
      <c r="G94" s="42">
        <f t="shared" ref="G94:G97" si="8">E94/F94</f>
        <v>0.26620370370370361</v>
      </c>
    </row>
    <row r="95" spans="1:10" x14ac:dyDescent="0.25">
      <c r="B95" s="12" t="s">
        <v>20</v>
      </c>
      <c r="C95" s="8">
        <v>3.4</v>
      </c>
      <c r="D95" s="8">
        <v>3.6</v>
      </c>
      <c r="E95" s="8">
        <f t="shared" ref="E95:E97" si="9">D95-C95</f>
        <v>0.20000000000000018</v>
      </c>
      <c r="F95" s="8">
        <f>E68</f>
        <v>864</v>
      </c>
      <c r="G95" s="41">
        <f t="shared" si="8"/>
        <v>2.3148148148148168E-4</v>
      </c>
    </row>
    <row r="96" spans="1:10" x14ac:dyDescent="0.25">
      <c r="B96" s="20" t="s">
        <v>21</v>
      </c>
      <c r="C96" s="21">
        <v>3.6</v>
      </c>
      <c r="D96" s="21">
        <v>8.1999999999999993</v>
      </c>
      <c r="E96" s="21">
        <f t="shared" si="9"/>
        <v>4.5999999999999996</v>
      </c>
      <c r="F96" s="21">
        <f>E69</f>
        <v>10.4544</v>
      </c>
      <c r="G96" s="42">
        <f t="shared" si="8"/>
        <v>0.4400061218243036</v>
      </c>
    </row>
    <row r="97" spans="1:8" ht="15.75" thickBot="1" x14ac:dyDescent="0.3">
      <c r="B97" s="14" t="s">
        <v>22</v>
      </c>
      <c r="C97" s="15">
        <v>8.1999999999999993</v>
      </c>
      <c r="D97" s="15">
        <v>10</v>
      </c>
      <c r="E97" s="15">
        <f t="shared" si="9"/>
        <v>1.8000000000000007</v>
      </c>
      <c r="F97" s="15">
        <f>E70</f>
        <v>19.439999999999998</v>
      </c>
      <c r="G97" s="43">
        <f t="shared" si="8"/>
        <v>9.2592592592592643E-2</v>
      </c>
    </row>
    <row r="100" spans="1:8" x14ac:dyDescent="0.25">
      <c r="D100" t="s">
        <v>62</v>
      </c>
    </row>
    <row r="106" spans="1:8" x14ac:dyDescent="0.25">
      <c r="A106" s="31" t="s">
        <v>57</v>
      </c>
      <c r="C106">
        <f>$B$85/(SUM(G93:G97))</f>
        <v>3.7473201571721688</v>
      </c>
      <c r="D106" t="s">
        <v>51</v>
      </c>
    </row>
    <row r="108" spans="1:8" x14ac:dyDescent="0.25">
      <c r="A108" t="s">
        <v>61</v>
      </c>
      <c r="B108">
        <f>C87/C106</f>
        <v>7.7518301760490873</v>
      </c>
    </row>
    <row r="110" spans="1:8" ht="15.75" thickBot="1" x14ac:dyDescent="0.3">
      <c r="A110" s="1" t="s">
        <v>63</v>
      </c>
    </row>
    <row r="111" spans="1:8" x14ac:dyDescent="0.25">
      <c r="B111" s="37" t="s">
        <v>0</v>
      </c>
      <c r="C111" s="38" t="s">
        <v>12</v>
      </c>
      <c r="D111" s="38" t="s">
        <v>13</v>
      </c>
      <c r="E111" s="38" t="s">
        <v>58</v>
      </c>
      <c r="F111" s="38" t="s">
        <v>47</v>
      </c>
      <c r="G111" s="38" t="s">
        <v>59</v>
      </c>
      <c r="H111" s="39" t="s">
        <v>80</v>
      </c>
    </row>
    <row r="112" spans="1:8" x14ac:dyDescent="0.25">
      <c r="B112" s="12" t="s">
        <v>18</v>
      </c>
      <c r="C112" s="8">
        <v>0.5</v>
      </c>
      <c r="D112" s="8">
        <v>1.1000000000000001</v>
      </c>
      <c r="E112" s="8">
        <f>D112-C112</f>
        <v>0.60000000000000009</v>
      </c>
      <c r="F112" s="8">
        <f>F93</f>
        <v>0.34560000000000002</v>
      </c>
      <c r="G112" s="7">
        <f>E112/F112</f>
        <v>1.7361111111111114</v>
      </c>
      <c r="H112" s="41">
        <f>E112*F112</f>
        <v>0.20736000000000004</v>
      </c>
    </row>
    <row r="113" spans="1:8" x14ac:dyDescent="0.25">
      <c r="B113" s="20" t="s">
        <v>19</v>
      </c>
      <c r="C113" s="21">
        <v>1.1000000000000001</v>
      </c>
      <c r="D113" s="21">
        <v>3.4</v>
      </c>
      <c r="E113" s="21">
        <f t="shared" ref="E113:E117" si="10">D113-C113</f>
        <v>2.2999999999999998</v>
      </c>
      <c r="F113" s="21">
        <f>F94</f>
        <v>8.6400000000000023</v>
      </c>
      <c r="G113" s="35">
        <f t="shared" ref="G113:G117" si="11">E113/F113</f>
        <v>0.26620370370370361</v>
      </c>
      <c r="H113" s="42">
        <f t="shared" ref="H113:H117" si="12">E113*F113</f>
        <v>19.872000000000003</v>
      </c>
    </row>
    <row r="114" spans="1:8" x14ac:dyDescent="0.25">
      <c r="B114" s="12" t="s">
        <v>20</v>
      </c>
      <c r="C114" s="8">
        <v>3.4</v>
      </c>
      <c r="D114" s="8">
        <v>3.6</v>
      </c>
      <c r="E114" s="8">
        <f t="shared" si="10"/>
        <v>0.20000000000000018</v>
      </c>
      <c r="F114" s="8">
        <f>F95</f>
        <v>864</v>
      </c>
      <c r="G114" s="7">
        <f t="shared" si="11"/>
        <v>2.3148148148148168E-4</v>
      </c>
      <c r="H114" s="41">
        <f t="shared" si="12"/>
        <v>172.80000000000015</v>
      </c>
    </row>
    <row r="115" spans="1:8" x14ac:dyDescent="0.25">
      <c r="B115" s="20" t="s">
        <v>64</v>
      </c>
      <c r="C115" s="21">
        <v>3.6</v>
      </c>
      <c r="D115" s="21">
        <v>3.7</v>
      </c>
      <c r="E115" s="21">
        <f t="shared" si="10"/>
        <v>0.10000000000000009</v>
      </c>
      <c r="F115" s="45">
        <v>1E-4</v>
      </c>
      <c r="G115" s="35">
        <f>E115/F115</f>
        <v>1000.0000000000008</v>
      </c>
      <c r="H115" s="42">
        <f t="shared" si="12"/>
        <v>1.0000000000000009E-5</v>
      </c>
    </row>
    <row r="116" spans="1:8" x14ac:dyDescent="0.25">
      <c r="B116" s="48" t="s">
        <v>21</v>
      </c>
      <c r="C116" s="49">
        <v>3.7</v>
      </c>
      <c r="D116" s="49">
        <v>8.1999999999999993</v>
      </c>
      <c r="E116" s="49">
        <f t="shared" si="10"/>
        <v>4.4999999999999991</v>
      </c>
      <c r="F116" s="49">
        <f>F96</f>
        <v>10.4544</v>
      </c>
      <c r="G116" s="50">
        <f t="shared" si="11"/>
        <v>0.43044077134986219</v>
      </c>
      <c r="H116" s="51">
        <f t="shared" si="12"/>
        <v>47.044799999999988</v>
      </c>
    </row>
    <row r="117" spans="1:8" ht="15.75" thickBot="1" x14ac:dyDescent="0.3">
      <c r="B117" s="46" t="s">
        <v>22</v>
      </c>
      <c r="C117" s="47">
        <v>8.1999999999999993</v>
      </c>
      <c r="D117" s="47">
        <v>10</v>
      </c>
      <c r="E117" s="47">
        <f t="shared" si="10"/>
        <v>1.8000000000000007</v>
      </c>
      <c r="F117" s="47">
        <f>F97</f>
        <v>19.439999999999998</v>
      </c>
      <c r="G117" s="52">
        <f t="shared" si="11"/>
        <v>9.2592592592592643E-2</v>
      </c>
      <c r="H117" s="53">
        <f t="shared" si="12"/>
        <v>34.992000000000012</v>
      </c>
    </row>
    <row r="119" spans="1:8" x14ac:dyDescent="0.25">
      <c r="A119" s="33" t="s">
        <v>66</v>
      </c>
      <c r="C119" s="6">
        <f>(SUM(H112:H117))/B85</f>
        <v>28.938544210526331</v>
      </c>
      <c r="D119" t="s">
        <v>51</v>
      </c>
    </row>
    <row r="120" spans="1:8" x14ac:dyDescent="0.25">
      <c r="A120" s="33"/>
    </row>
    <row r="121" spans="1:8" x14ac:dyDescent="0.25">
      <c r="A121" s="33" t="s">
        <v>67</v>
      </c>
      <c r="C121">
        <f>$B$85/(SUM(G112:G117))</f>
        <v>9.476067436822503E-3</v>
      </c>
      <c r="D121" t="s">
        <v>51</v>
      </c>
    </row>
    <row r="123" spans="1:8" x14ac:dyDescent="0.25">
      <c r="A123" s="1" t="s">
        <v>69</v>
      </c>
    </row>
    <row r="125" spans="1:8" x14ac:dyDescent="0.25">
      <c r="A125" t="s">
        <v>65</v>
      </c>
      <c r="B125">
        <f>C119/C121</f>
        <v>3053.8558746506715</v>
      </c>
    </row>
    <row r="127" spans="1:8" x14ac:dyDescent="0.25">
      <c r="A127" t="s">
        <v>68</v>
      </c>
      <c r="B127">
        <f>B125-B108</f>
        <v>3046.1040444746222</v>
      </c>
    </row>
    <row r="129" spans="1:17" x14ac:dyDescent="0.25">
      <c r="A129" s="1" t="s">
        <v>70</v>
      </c>
    </row>
    <row r="131" spans="1:17" x14ac:dyDescent="0.25">
      <c r="A131" t="s">
        <v>72</v>
      </c>
      <c r="B131" s="2">
        <v>1</v>
      </c>
      <c r="C131" t="s">
        <v>73</v>
      </c>
    </row>
    <row r="132" spans="1:17" x14ac:dyDescent="0.25">
      <c r="B132">
        <f>B131*1000000</f>
        <v>1000000</v>
      </c>
      <c r="C132" t="s">
        <v>74</v>
      </c>
    </row>
    <row r="134" spans="1:17" x14ac:dyDescent="0.25">
      <c r="A134" t="s">
        <v>75</v>
      </c>
      <c r="B134" s="2">
        <v>0.75</v>
      </c>
      <c r="C134" t="s">
        <v>7</v>
      </c>
    </row>
    <row r="135" spans="1:17" x14ac:dyDescent="0.25">
      <c r="A135" t="s">
        <v>84</v>
      </c>
      <c r="B135">
        <f>B134+B83</f>
        <v>1.25</v>
      </c>
      <c r="C135" t="s">
        <v>7</v>
      </c>
    </row>
    <row r="136" spans="1:17" ht="15.75" thickBot="1" x14ac:dyDescent="0.3"/>
    <row r="137" spans="1:17" x14ac:dyDescent="0.25">
      <c r="B137" s="37" t="s">
        <v>0</v>
      </c>
      <c r="C137" s="38" t="s">
        <v>12</v>
      </c>
      <c r="D137" s="38" t="s">
        <v>13</v>
      </c>
      <c r="E137" s="38" t="s">
        <v>71</v>
      </c>
      <c r="F137" s="38" t="s">
        <v>85</v>
      </c>
      <c r="G137" s="39" t="s">
        <v>81</v>
      </c>
    </row>
    <row r="138" spans="1:17" x14ac:dyDescent="0.25">
      <c r="B138" s="12" t="s">
        <v>18</v>
      </c>
      <c r="C138" s="8">
        <v>0.5</v>
      </c>
      <c r="D138" s="8">
        <v>1.1000000000000001</v>
      </c>
      <c r="E138" s="44">
        <f>$G$33/100</f>
        <v>0.20338983050847478</v>
      </c>
      <c r="F138" s="8">
        <f>D138-C138</f>
        <v>0.60000000000000009</v>
      </c>
      <c r="G138" s="13">
        <f>$B$132*E138*F138</f>
        <v>122033.89830508489</v>
      </c>
    </row>
    <row r="139" spans="1:17" ht="15.75" thickBot="1" x14ac:dyDescent="0.3">
      <c r="B139" s="46" t="s">
        <v>19</v>
      </c>
      <c r="C139" s="47">
        <v>1.1000000000000001</v>
      </c>
      <c r="D139" s="47">
        <v>1.25</v>
      </c>
      <c r="E139" s="58">
        <f>$G$34/100</f>
        <v>0.19915254237288132</v>
      </c>
      <c r="F139" s="47">
        <f>D139-C139</f>
        <v>0.14999999999999991</v>
      </c>
      <c r="G139" s="59">
        <f>$B$132*E139*F139</f>
        <v>29872.881355932179</v>
      </c>
    </row>
    <row r="140" spans="1:17" x14ac:dyDescent="0.25">
      <c r="B140" s="55"/>
      <c r="C140" s="56"/>
      <c r="D140" s="57"/>
      <c r="E140" s="57"/>
      <c r="F140" s="26"/>
    </row>
    <row r="141" spans="1:17" x14ac:dyDescent="0.25">
      <c r="A141" t="s">
        <v>76</v>
      </c>
      <c r="B141" s="57">
        <f>SUM(G138:G139)</f>
        <v>151906.77966101706</v>
      </c>
      <c r="C141" s="56"/>
      <c r="D141" s="57"/>
      <c r="E141" s="57"/>
      <c r="F141" s="26"/>
    </row>
    <row r="142" spans="1:17" x14ac:dyDescent="0.25">
      <c r="D142" s="6"/>
      <c r="E142" s="6"/>
    </row>
    <row r="143" spans="1:17" ht="15.75" thickBot="1" x14ac:dyDescent="0.3">
      <c r="A143" s="1" t="s">
        <v>86</v>
      </c>
    </row>
    <row r="144" spans="1:17" x14ac:dyDescent="0.25">
      <c r="B144" s="67" t="s">
        <v>87</v>
      </c>
      <c r="C144" s="39" t="s">
        <v>79</v>
      </c>
      <c r="L144" s="37" t="s">
        <v>0</v>
      </c>
      <c r="M144" s="38" t="s">
        <v>12</v>
      </c>
      <c r="N144" s="38" t="s">
        <v>13</v>
      </c>
      <c r="O144" s="38" t="s">
        <v>58</v>
      </c>
      <c r="P144" s="38" t="s">
        <v>47</v>
      </c>
      <c r="Q144" s="39" t="s">
        <v>80</v>
      </c>
    </row>
    <row r="145" spans="2:17" x14ac:dyDescent="0.25">
      <c r="B145" s="12">
        <v>0.5</v>
      </c>
      <c r="C145" s="41">
        <f>B89+Q147</f>
        <v>275.96161000000012</v>
      </c>
      <c r="L145" s="60" t="s">
        <v>19</v>
      </c>
      <c r="M145" s="61">
        <v>1.5</v>
      </c>
      <c r="N145" s="61">
        <v>3.4</v>
      </c>
      <c r="O145" s="61">
        <f>N145-M145</f>
        <v>1.9</v>
      </c>
      <c r="P145" s="61">
        <f>$F$113</f>
        <v>8.6400000000000023</v>
      </c>
      <c r="Q145" s="62">
        <f>O145*P145</f>
        <v>16.416000000000004</v>
      </c>
    </row>
    <row r="146" spans="2:17" x14ac:dyDescent="0.25">
      <c r="B146" s="20">
        <v>1.5</v>
      </c>
      <c r="C146" s="42">
        <f>SUM(Q145:Q149)</f>
        <v>271.25281000000012</v>
      </c>
      <c r="L146" s="20" t="s">
        <v>20</v>
      </c>
      <c r="M146" s="21">
        <v>3.4</v>
      </c>
      <c r="N146" s="21">
        <v>3.6</v>
      </c>
      <c r="O146" s="21">
        <f t="shared" ref="O145:O149" si="13">N146-M146</f>
        <v>0.20000000000000018</v>
      </c>
      <c r="P146" s="21">
        <f>$F$114</f>
        <v>864</v>
      </c>
      <c r="Q146" s="42">
        <f>O146*P146</f>
        <v>172.80000000000015</v>
      </c>
    </row>
    <row r="147" spans="2:17" x14ac:dyDescent="0.25">
      <c r="B147" s="12">
        <v>2.5</v>
      </c>
      <c r="C147" s="41">
        <f>SUM(Q153:Q157)</f>
        <v>262.61281000000014</v>
      </c>
      <c r="L147" s="60" t="s">
        <v>64</v>
      </c>
      <c r="M147" s="61">
        <v>3.6</v>
      </c>
      <c r="N147" s="61">
        <v>3.7</v>
      </c>
      <c r="O147" s="61">
        <f t="shared" si="13"/>
        <v>0.10000000000000009</v>
      </c>
      <c r="P147" s="63">
        <f>$F$115</f>
        <v>1E-4</v>
      </c>
      <c r="Q147" s="62">
        <f>O147*P147</f>
        <v>1.0000000000000009E-5</v>
      </c>
    </row>
    <row r="148" spans="2:17" x14ac:dyDescent="0.25">
      <c r="B148" s="20">
        <v>3.5</v>
      </c>
      <c r="C148" s="42">
        <f>SUM(Q161:Q164)</f>
        <v>168.43681000000009</v>
      </c>
      <c r="L148" s="20" t="s">
        <v>21</v>
      </c>
      <c r="M148" s="21">
        <v>3.7</v>
      </c>
      <c r="N148" s="21">
        <v>8.1999999999999993</v>
      </c>
      <c r="O148" s="21">
        <f t="shared" si="13"/>
        <v>4.4999999999999991</v>
      </c>
      <c r="P148" s="21">
        <f>$F$116</f>
        <v>10.4544</v>
      </c>
      <c r="Q148" s="42">
        <f>O148*P148</f>
        <v>47.044799999999988</v>
      </c>
    </row>
    <row r="149" spans="2:17" ht="15.75" thickBot="1" x14ac:dyDescent="0.3">
      <c r="B149" s="12">
        <v>4.5</v>
      </c>
      <c r="C149" s="41">
        <f>SUM(Q168:Q169)</f>
        <v>73.673280000000005</v>
      </c>
      <c r="L149" s="64" t="s">
        <v>22</v>
      </c>
      <c r="M149" s="65">
        <v>8.1999999999999993</v>
      </c>
      <c r="N149" s="65">
        <v>10</v>
      </c>
      <c r="O149" s="65">
        <f t="shared" si="13"/>
        <v>1.8000000000000007</v>
      </c>
      <c r="P149" s="65">
        <f>$F$117</f>
        <v>19.439999999999998</v>
      </c>
      <c r="Q149" s="66">
        <f>O149*P149</f>
        <v>34.992000000000012</v>
      </c>
    </row>
    <row r="150" spans="2:17" x14ac:dyDescent="0.25">
      <c r="B150" s="20">
        <v>5.5</v>
      </c>
      <c r="C150" s="42">
        <f>SUM(Q173:Q174)</f>
        <v>63.218879999999999</v>
      </c>
    </row>
    <row r="151" spans="2:17" ht="15.75" thickBot="1" x14ac:dyDescent="0.3">
      <c r="B151" s="12">
        <v>6.5</v>
      </c>
      <c r="C151" s="41">
        <f>SUM(Q178:Q179)</f>
        <v>52.764480000000006</v>
      </c>
    </row>
    <row r="152" spans="2:17" x14ac:dyDescent="0.25">
      <c r="B152" s="20">
        <v>7.5</v>
      </c>
      <c r="C152" s="42">
        <f>SUM(Q183:Q184)</f>
        <v>42.310080000000006</v>
      </c>
      <c r="L152" s="37" t="s">
        <v>0</v>
      </c>
      <c r="M152" s="38" t="s">
        <v>12</v>
      </c>
      <c r="N152" s="38" t="s">
        <v>13</v>
      </c>
      <c r="O152" s="38" t="s">
        <v>58</v>
      </c>
      <c r="P152" s="38" t="s">
        <v>47</v>
      </c>
      <c r="Q152" s="39" t="s">
        <v>80</v>
      </c>
    </row>
    <row r="153" spans="2:17" x14ac:dyDescent="0.25">
      <c r="B153" s="12">
        <v>8.5</v>
      </c>
      <c r="C153" s="41">
        <f>SUM(Q188)</f>
        <v>29.159999999999997</v>
      </c>
      <c r="L153" s="60" t="s">
        <v>19</v>
      </c>
      <c r="M153" s="61">
        <v>2.5</v>
      </c>
      <c r="N153" s="61">
        <v>3.4</v>
      </c>
      <c r="O153" s="61">
        <f>N153-M153</f>
        <v>0.89999999999999991</v>
      </c>
      <c r="P153" s="61">
        <f>$F$113</f>
        <v>8.6400000000000023</v>
      </c>
      <c r="Q153" s="62">
        <f>O153*P153</f>
        <v>7.7760000000000016</v>
      </c>
    </row>
    <row r="154" spans="2:17" ht="15.75" thickBot="1" x14ac:dyDescent="0.3">
      <c r="B154" s="46">
        <v>9.5</v>
      </c>
      <c r="C154" s="53">
        <f>SUM(Q192)</f>
        <v>9.7199999999999989</v>
      </c>
      <c r="L154" s="20" t="s">
        <v>20</v>
      </c>
      <c r="M154" s="21">
        <v>3.4</v>
      </c>
      <c r="N154" s="21">
        <v>3.6</v>
      </c>
      <c r="O154" s="21">
        <f t="shared" ref="O154:O157" si="14">N154-M154</f>
        <v>0.20000000000000018</v>
      </c>
      <c r="P154" s="21">
        <f>$F$114</f>
        <v>864</v>
      </c>
      <c r="Q154" s="42">
        <f>O154*P154</f>
        <v>172.80000000000015</v>
      </c>
    </row>
    <row r="155" spans="2:17" x14ac:dyDescent="0.25">
      <c r="L155" s="60" t="s">
        <v>64</v>
      </c>
      <c r="M155" s="61">
        <v>3.6</v>
      </c>
      <c r="N155" s="61">
        <v>3.7</v>
      </c>
      <c r="O155" s="61">
        <f t="shared" si="14"/>
        <v>0.10000000000000009</v>
      </c>
      <c r="P155" s="63">
        <f>$F$115</f>
        <v>1E-4</v>
      </c>
      <c r="Q155" s="62">
        <f>O155*P155</f>
        <v>1.0000000000000009E-5</v>
      </c>
    </row>
    <row r="156" spans="2:17" x14ac:dyDescent="0.25">
      <c r="L156" s="20" t="s">
        <v>21</v>
      </c>
      <c r="M156" s="21">
        <v>3.7</v>
      </c>
      <c r="N156" s="21">
        <v>8.1999999999999993</v>
      </c>
      <c r="O156" s="21">
        <f t="shared" si="14"/>
        <v>4.4999999999999991</v>
      </c>
      <c r="P156" s="21">
        <f>$F$116</f>
        <v>10.4544</v>
      </c>
      <c r="Q156" s="42">
        <f>O156*P156</f>
        <v>47.044799999999988</v>
      </c>
    </row>
    <row r="157" spans="2:17" ht="15.75" thickBot="1" x14ac:dyDescent="0.3">
      <c r="L157" s="64" t="s">
        <v>22</v>
      </c>
      <c r="M157" s="65">
        <v>8.1999999999999993</v>
      </c>
      <c r="N157" s="65">
        <v>10</v>
      </c>
      <c r="O157" s="65">
        <f t="shared" si="14"/>
        <v>1.8000000000000007</v>
      </c>
      <c r="P157" s="65">
        <f>$F$117</f>
        <v>19.439999999999998</v>
      </c>
      <c r="Q157" s="66">
        <f>O157*P157</f>
        <v>34.992000000000012</v>
      </c>
    </row>
    <row r="159" spans="2:17" ht="15.75" thickBot="1" x14ac:dyDescent="0.3"/>
    <row r="160" spans="2:17" x14ac:dyDescent="0.25">
      <c r="L160" s="37" t="s">
        <v>0</v>
      </c>
      <c r="M160" s="38" t="s">
        <v>12</v>
      </c>
      <c r="N160" s="38" t="s">
        <v>13</v>
      </c>
      <c r="O160" s="38" t="s">
        <v>58</v>
      </c>
      <c r="P160" s="38" t="s">
        <v>47</v>
      </c>
      <c r="Q160" s="39" t="s">
        <v>80</v>
      </c>
    </row>
    <row r="161" spans="2:17" x14ac:dyDescent="0.25">
      <c r="L161" s="60" t="s">
        <v>20</v>
      </c>
      <c r="M161" s="61">
        <v>3.5</v>
      </c>
      <c r="N161" s="61">
        <v>3.6</v>
      </c>
      <c r="O161" s="61">
        <f t="shared" ref="O161:O164" si="15">N161-M161</f>
        <v>0.10000000000000009</v>
      </c>
      <c r="P161" s="61">
        <f>$F$114</f>
        <v>864</v>
      </c>
      <c r="Q161" s="62">
        <f>O161*P161</f>
        <v>86.400000000000077</v>
      </c>
    </row>
    <row r="162" spans="2:17" x14ac:dyDescent="0.25">
      <c r="L162" s="20" t="s">
        <v>64</v>
      </c>
      <c r="M162" s="21">
        <v>3.6</v>
      </c>
      <c r="N162" s="21">
        <v>3.7</v>
      </c>
      <c r="O162" s="21">
        <f t="shared" si="15"/>
        <v>0.10000000000000009</v>
      </c>
      <c r="P162" s="45">
        <f>$F$115</f>
        <v>1E-4</v>
      </c>
      <c r="Q162" s="42">
        <f>O162*P162</f>
        <v>1.0000000000000009E-5</v>
      </c>
    </row>
    <row r="163" spans="2:17" x14ac:dyDescent="0.25">
      <c r="L163" s="60" t="s">
        <v>21</v>
      </c>
      <c r="M163" s="61">
        <v>3.7</v>
      </c>
      <c r="N163" s="61">
        <v>8.1999999999999993</v>
      </c>
      <c r="O163" s="61">
        <f t="shared" si="15"/>
        <v>4.4999999999999991</v>
      </c>
      <c r="P163" s="61">
        <f>$F$116</f>
        <v>10.4544</v>
      </c>
      <c r="Q163" s="62">
        <f>O163*P163</f>
        <v>47.044799999999988</v>
      </c>
    </row>
    <row r="164" spans="2:17" ht="15.75" thickBot="1" x14ac:dyDescent="0.3">
      <c r="B164" s="4"/>
      <c r="C164" s="4"/>
      <c r="L164" s="46" t="s">
        <v>22</v>
      </c>
      <c r="M164" s="47">
        <v>8.1999999999999993</v>
      </c>
      <c r="N164" s="47">
        <v>10</v>
      </c>
      <c r="O164" s="47">
        <f t="shared" si="15"/>
        <v>1.8000000000000007</v>
      </c>
      <c r="P164" s="47">
        <f>$F$117</f>
        <v>19.439999999999998</v>
      </c>
      <c r="Q164" s="53">
        <f>O164*P164</f>
        <v>34.992000000000012</v>
      </c>
    </row>
    <row r="165" spans="2:17" x14ac:dyDescent="0.25">
      <c r="B165" s="4"/>
      <c r="C165" s="4"/>
    </row>
    <row r="166" spans="2:17" ht="15.75" thickBot="1" x14ac:dyDescent="0.3">
      <c r="B166" s="4"/>
      <c r="C166" s="4"/>
    </row>
    <row r="167" spans="2:17" x14ac:dyDescent="0.25">
      <c r="B167" s="4"/>
      <c r="C167" s="4"/>
      <c r="L167" s="37" t="s">
        <v>0</v>
      </c>
      <c r="M167" s="38" t="s">
        <v>12</v>
      </c>
      <c r="N167" s="38" t="s">
        <v>13</v>
      </c>
      <c r="O167" s="38" t="s">
        <v>58</v>
      </c>
      <c r="P167" s="38" t="s">
        <v>47</v>
      </c>
      <c r="Q167" s="39" t="s">
        <v>80</v>
      </c>
    </row>
    <row r="168" spans="2:17" x14ac:dyDescent="0.25">
      <c r="B168" s="4"/>
      <c r="C168" s="4"/>
      <c r="L168" s="60" t="s">
        <v>21</v>
      </c>
      <c r="M168" s="61">
        <v>4.5</v>
      </c>
      <c r="N168" s="61">
        <v>8.1999999999999993</v>
      </c>
      <c r="O168" s="61">
        <f>N168-M168</f>
        <v>3.6999999999999993</v>
      </c>
      <c r="P168" s="61">
        <f>$F$116</f>
        <v>10.4544</v>
      </c>
      <c r="Q168" s="62">
        <f>O168*P168</f>
        <v>38.681279999999994</v>
      </c>
    </row>
    <row r="169" spans="2:17" ht="15.75" thickBot="1" x14ac:dyDescent="0.3">
      <c r="B169" s="4"/>
      <c r="C169" s="4"/>
      <c r="L169" s="46" t="s">
        <v>22</v>
      </c>
      <c r="M169" s="47">
        <v>8.1999999999999993</v>
      </c>
      <c r="N169" s="47">
        <v>10</v>
      </c>
      <c r="O169" s="47">
        <f>N169-M169</f>
        <v>1.8000000000000007</v>
      </c>
      <c r="P169" s="47">
        <f>$F$117</f>
        <v>19.439999999999998</v>
      </c>
      <c r="Q169" s="53">
        <f>O169*P169</f>
        <v>34.992000000000012</v>
      </c>
    </row>
    <row r="170" spans="2:17" x14ac:dyDescent="0.25">
      <c r="B170" s="4"/>
      <c r="C170" s="4"/>
    </row>
    <row r="171" spans="2:17" ht="15.75" thickBot="1" x14ac:dyDescent="0.3">
      <c r="B171" s="4"/>
      <c r="C171" s="4"/>
    </row>
    <row r="172" spans="2:17" x14ac:dyDescent="0.25">
      <c r="B172" s="4"/>
      <c r="C172" s="4"/>
      <c r="L172" s="37" t="s">
        <v>0</v>
      </c>
      <c r="M172" s="38" t="s">
        <v>12</v>
      </c>
      <c r="N172" s="38" t="s">
        <v>13</v>
      </c>
      <c r="O172" s="38" t="s">
        <v>58</v>
      </c>
      <c r="P172" s="38" t="s">
        <v>47</v>
      </c>
      <c r="Q172" s="39" t="s">
        <v>80</v>
      </c>
    </row>
    <row r="173" spans="2:17" x14ac:dyDescent="0.25">
      <c r="B173" s="4"/>
      <c r="C173" s="4"/>
      <c r="L173" s="60" t="s">
        <v>21</v>
      </c>
      <c r="M173" s="61">
        <v>5.5</v>
      </c>
      <c r="N173" s="61">
        <v>8.1999999999999993</v>
      </c>
      <c r="O173" s="61">
        <f>N173-M173</f>
        <v>2.6999999999999993</v>
      </c>
      <c r="P173" s="61">
        <f>$F$116</f>
        <v>10.4544</v>
      </c>
      <c r="Q173" s="62">
        <f>O173*P173</f>
        <v>28.226879999999991</v>
      </c>
    </row>
    <row r="174" spans="2:17" ht="15.75" thickBot="1" x14ac:dyDescent="0.3">
      <c r="B174" s="4"/>
      <c r="C174" s="4"/>
      <c r="L174" s="46" t="s">
        <v>22</v>
      </c>
      <c r="M174" s="47">
        <v>8.1999999999999993</v>
      </c>
      <c r="N174" s="47">
        <v>10</v>
      </c>
      <c r="O174" s="47">
        <f>N174-M174</f>
        <v>1.8000000000000007</v>
      </c>
      <c r="P174" s="47">
        <f>$F$117</f>
        <v>19.439999999999998</v>
      </c>
      <c r="Q174" s="53">
        <f>O174*P174</f>
        <v>34.992000000000012</v>
      </c>
    </row>
    <row r="176" spans="2:17" ht="15.75" thickBot="1" x14ac:dyDescent="0.3"/>
    <row r="177" spans="12:17" x14ac:dyDescent="0.25">
      <c r="L177" s="37" t="s">
        <v>0</v>
      </c>
      <c r="M177" s="38" t="s">
        <v>12</v>
      </c>
      <c r="N177" s="38" t="s">
        <v>13</v>
      </c>
      <c r="O177" s="38" t="s">
        <v>58</v>
      </c>
      <c r="P177" s="38" t="s">
        <v>47</v>
      </c>
      <c r="Q177" s="39" t="s">
        <v>80</v>
      </c>
    </row>
    <row r="178" spans="12:17" x14ac:dyDescent="0.25">
      <c r="L178" s="60" t="s">
        <v>21</v>
      </c>
      <c r="M178" s="61">
        <v>6.5</v>
      </c>
      <c r="N178" s="61">
        <v>8.1999999999999993</v>
      </c>
      <c r="O178" s="61">
        <f>N178-M178</f>
        <v>1.6999999999999993</v>
      </c>
      <c r="P178" s="61">
        <f>$F$116</f>
        <v>10.4544</v>
      </c>
      <c r="Q178" s="62">
        <f>O178*P178</f>
        <v>17.772479999999991</v>
      </c>
    </row>
    <row r="179" spans="12:17" ht="15.75" thickBot="1" x14ac:dyDescent="0.3">
      <c r="L179" s="46" t="s">
        <v>22</v>
      </c>
      <c r="M179" s="47">
        <v>8.1999999999999993</v>
      </c>
      <c r="N179" s="47">
        <v>10</v>
      </c>
      <c r="O179" s="47">
        <f>N179-M179</f>
        <v>1.8000000000000007</v>
      </c>
      <c r="P179" s="47">
        <f>$F$117</f>
        <v>19.439999999999998</v>
      </c>
      <c r="Q179" s="53">
        <f>O179*P179</f>
        <v>34.992000000000012</v>
      </c>
    </row>
    <row r="181" spans="12:17" ht="15.75" thickBot="1" x14ac:dyDescent="0.3"/>
    <row r="182" spans="12:17" x14ac:dyDescent="0.25">
      <c r="L182" s="37" t="s">
        <v>0</v>
      </c>
      <c r="M182" s="38" t="s">
        <v>12</v>
      </c>
      <c r="N182" s="38" t="s">
        <v>13</v>
      </c>
      <c r="O182" s="38" t="s">
        <v>58</v>
      </c>
      <c r="P182" s="38" t="s">
        <v>47</v>
      </c>
      <c r="Q182" s="39" t="s">
        <v>80</v>
      </c>
    </row>
    <row r="183" spans="12:17" x14ac:dyDescent="0.25">
      <c r="L183" s="60" t="s">
        <v>21</v>
      </c>
      <c r="M183" s="61">
        <v>7.5</v>
      </c>
      <c r="N183" s="61">
        <v>8.1999999999999993</v>
      </c>
      <c r="O183" s="61">
        <f>N183-M183</f>
        <v>0.69999999999999929</v>
      </c>
      <c r="P183" s="61">
        <f>$F$116</f>
        <v>10.4544</v>
      </c>
      <c r="Q183" s="62">
        <f>O183*P183</f>
        <v>7.3180799999999921</v>
      </c>
    </row>
    <row r="184" spans="12:17" ht="15.75" thickBot="1" x14ac:dyDescent="0.3">
      <c r="L184" s="46" t="s">
        <v>22</v>
      </c>
      <c r="M184" s="47">
        <v>8.1999999999999993</v>
      </c>
      <c r="N184" s="47">
        <v>10</v>
      </c>
      <c r="O184" s="47">
        <f>N184-M184</f>
        <v>1.8000000000000007</v>
      </c>
      <c r="P184" s="47">
        <f>$F$117</f>
        <v>19.439999999999998</v>
      </c>
      <c r="Q184" s="53">
        <f>O184*P184</f>
        <v>34.992000000000012</v>
      </c>
    </row>
    <row r="186" spans="12:17" ht="15.75" thickBot="1" x14ac:dyDescent="0.3"/>
    <row r="187" spans="12:17" x14ac:dyDescent="0.25">
      <c r="L187" s="37" t="s">
        <v>0</v>
      </c>
      <c r="M187" s="38" t="s">
        <v>12</v>
      </c>
      <c r="N187" s="38" t="s">
        <v>13</v>
      </c>
      <c r="O187" s="38" t="s">
        <v>58</v>
      </c>
      <c r="P187" s="38" t="s">
        <v>47</v>
      </c>
      <c r="Q187" s="39" t="s">
        <v>80</v>
      </c>
    </row>
    <row r="188" spans="12:17" ht="15.75" thickBot="1" x14ac:dyDescent="0.3">
      <c r="L188" s="64" t="s">
        <v>22</v>
      </c>
      <c r="M188" s="65">
        <v>8.5</v>
      </c>
      <c r="N188" s="65">
        <v>10</v>
      </c>
      <c r="O188" s="65">
        <f>N188-M188</f>
        <v>1.5</v>
      </c>
      <c r="P188" s="65">
        <f>$F$117</f>
        <v>19.439999999999998</v>
      </c>
      <c r="Q188" s="66">
        <f>O188*P188</f>
        <v>29.159999999999997</v>
      </c>
    </row>
    <row r="190" spans="12:17" ht="15.75" thickBot="1" x14ac:dyDescent="0.3"/>
    <row r="191" spans="12:17" x14ac:dyDescent="0.25">
      <c r="L191" s="37" t="s">
        <v>0</v>
      </c>
      <c r="M191" s="38" t="s">
        <v>12</v>
      </c>
      <c r="N191" s="38" t="s">
        <v>13</v>
      </c>
      <c r="O191" s="38" t="s">
        <v>58</v>
      </c>
      <c r="P191" s="38" t="s">
        <v>47</v>
      </c>
      <c r="Q191" s="39" t="s">
        <v>80</v>
      </c>
    </row>
    <row r="192" spans="12:17" ht="15.75" thickBot="1" x14ac:dyDescent="0.3">
      <c r="L192" s="64" t="s">
        <v>22</v>
      </c>
      <c r="M192" s="65">
        <v>9.5</v>
      </c>
      <c r="N192" s="65">
        <v>10</v>
      </c>
      <c r="O192" s="65">
        <f>N192-M192</f>
        <v>0.5</v>
      </c>
      <c r="P192" s="65">
        <f>$F$117</f>
        <v>19.439999999999998</v>
      </c>
      <c r="Q192" s="66">
        <f>O192*P192</f>
        <v>9.7199999999999989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AD8E-9E43-4A10-A3FF-06D83F83E613}">
  <dimension ref="A1:H174"/>
  <sheetViews>
    <sheetView topLeftCell="A60" zoomScale="85" zoomScaleNormal="85" workbookViewId="0">
      <selection activeCell="E101" sqref="E101"/>
    </sheetView>
  </sheetViews>
  <sheetFormatPr defaultRowHeight="15" x14ac:dyDescent="0.25"/>
  <cols>
    <col min="1" max="1" width="22.7109375" bestFit="1" customWidth="1"/>
    <col min="2" max="2" width="20.85546875" bestFit="1" customWidth="1"/>
    <col min="3" max="3" width="26.85546875" bestFit="1" customWidth="1"/>
    <col min="4" max="4" width="26.140625" bestFit="1" customWidth="1"/>
    <col min="5" max="5" width="29.7109375" bestFit="1" customWidth="1"/>
    <col min="6" max="6" width="35.85546875" bestFit="1" customWidth="1"/>
    <col min="7" max="7" width="21.7109375" bestFit="1" customWidth="1"/>
    <col min="8" max="8" width="22" bestFit="1" customWidth="1"/>
  </cols>
  <sheetData>
    <row r="1" spans="1:4" x14ac:dyDescent="0.25">
      <c r="A1" s="1" t="s">
        <v>1</v>
      </c>
    </row>
    <row r="2" spans="1:4" x14ac:dyDescent="0.25">
      <c r="A2" s="1" t="s">
        <v>2</v>
      </c>
    </row>
    <row r="4" spans="1:4" x14ac:dyDescent="0.25">
      <c r="A4" t="s">
        <v>3</v>
      </c>
      <c r="B4" t="s">
        <v>4</v>
      </c>
    </row>
    <row r="6" spans="1:4" x14ac:dyDescent="0.25">
      <c r="A6" t="s">
        <v>26</v>
      </c>
      <c r="B6" s="2">
        <v>100</v>
      </c>
      <c r="C6" t="s">
        <v>25</v>
      </c>
    </row>
    <row r="7" spans="1:4" x14ac:dyDescent="0.25">
      <c r="B7">
        <f>B6/1000</f>
        <v>0.1</v>
      </c>
      <c r="C7" t="s">
        <v>7</v>
      </c>
    </row>
    <row r="9" spans="1:4" x14ac:dyDescent="0.25">
      <c r="A9" t="s">
        <v>5</v>
      </c>
      <c r="B9" s="2">
        <v>30</v>
      </c>
      <c r="C9" t="s">
        <v>6</v>
      </c>
    </row>
    <row r="10" spans="1:4" x14ac:dyDescent="0.25">
      <c r="B10">
        <f>B9/100</f>
        <v>0.3</v>
      </c>
      <c r="C10" t="s">
        <v>7</v>
      </c>
    </row>
    <row r="12" spans="1:4" x14ac:dyDescent="0.25">
      <c r="A12" t="s">
        <v>8</v>
      </c>
      <c r="B12" s="2">
        <v>2.36</v>
      </c>
      <c r="C12" t="s">
        <v>9</v>
      </c>
      <c r="D12" t="e" vm="1">
        <v>#VALUE!</v>
      </c>
    </row>
    <row r="13" spans="1:4" x14ac:dyDescent="0.25">
      <c r="B13" s="3">
        <f>B12/1000</f>
        <v>2.3599999999999997E-3</v>
      </c>
      <c r="C13" t="s">
        <v>10</v>
      </c>
    </row>
    <row r="15" spans="1:4" x14ac:dyDescent="0.25">
      <c r="A15" t="s">
        <v>27</v>
      </c>
      <c r="B15" s="3">
        <f>PI()*((B7/2)^2)*B10</f>
        <v>2.3561944901923449E-3</v>
      </c>
      <c r="C15" t="s">
        <v>10</v>
      </c>
      <c r="D15" t="s">
        <v>28</v>
      </c>
    </row>
    <row r="18" spans="1:8" ht="15.75" thickBot="1" x14ac:dyDescent="0.3">
      <c r="A18" t="s">
        <v>11</v>
      </c>
    </row>
    <row r="19" spans="1:8" ht="15.75" thickBot="1" x14ac:dyDescent="0.3">
      <c r="B19" s="17" t="s">
        <v>0</v>
      </c>
      <c r="C19" s="18" t="s">
        <v>12</v>
      </c>
      <c r="D19" s="18" t="s">
        <v>13</v>
      </c>
      <c r="E19" s="18" t="s">
        <v>14</v>
      </c>
      <c r="F19" s="18" t="s">
        <v>15</v>
      </c>
      <c r="G19" s="18" t="s">
        <v>16</v>
      </c>
      <c r="H19" s="19" t="s">
        <v>17</v>
      </c>
    </row>
    <row r="20" spans="1:8" x14ac:dyDescent="0.25">
      <c r="B20" s="10" t="s">
        <v>18</v>
      </c>
      <c r="C20" s="9">
        <v>0.5</v>
      </c>
      <c r="D20" s="9">
        <v>1.1000000000000001</v>
      </c>
      <c r="E20" s="9">
        <v>5.48</v>
      </c>
      <c r="F20" s="9">
        <v>5</v>
      </c>
      <c r="G20" s="9">
        <v>0.02</v>
      </c>
      <c r="H20" s="11">
        <v>0.04</v>
      </c>
    </row>
    <row r="21" spans="1:8" x14ac:dyDescent="0.25">
      <c r="B21" s="20" t="s">
        <v>19</v>
      </c>
      <c r="C21" s="21">
        <v>1.1000000000000001</v>
      </c>
      <c r="D21" s="21">
        <v>3.4</v>
      </c>
      <c r="E21" s="21">
        <v>4.54</v>
      </c>
      <c r="F21" s="21">
        <v>4.07</v>
      </c>
      <c r="G21" s="21">
        <v>0.1</v>
      </c>
      <c r="H21" s="22">
        <v>0.28000000000000003</v>
      </c>
    </row>
    <row r="22" spans="1:8" x14ac:dyDescent="0.25">
      <c r="B22" s="12" t="s">
        <v>20</v>
      </c>
      <c r="C22" s="8">
        <v>3.4</v>
      </c>
      <c r="D22" s="8">
        <v>3.6</v>
      </c>
      <c r="E22" s="8">
        <v>5.79</v>
      </c>
      <c r="F22" s="8">
        <v>5.32</v>
      </c>
      <c r="G22" s="8">
        <v>1</v>
      </c>
      <c r="H22" s="13">
        <v>10</v>
      </c>
    </row>
    <row r="23" spans="1:8" x14ac:dyDescent="0.25">
      <c r="B23" s="20" t="s">
        <v>21</v>
      </c>
      <c r="C23" s="21">
        <v>3.6</v>
      </c>
      <c r="D23" s="21">
        <v>8.1999999999999993</v>
      </c>
      <c r="E23" s="21">
        <v>4.8499999999999996</v>
      </c>
      <c r="F23" s="21">
        <v>4.38</v>
      </c>
      <c r="G23" s="21">
        <v>0.11</v>
      </c>
      <c r="H23" s="22">
        <v>0.3</v>
      </c>
    </row>
    <row r="24" spans="1:8" ht="15.75" thickBot="1" x14ac:dyDescent="0.3">
      <c r="B24" s="14" t="s">
        <v>22</v>
      </c>
      <c r="C24" s="15">
        <v>8.1999999999999993</v>
      </c>
      <c r="D24" s="15">
        <v>10</v>
      </c>
      <c r="E24" s="15">
        <v>5.16</v>
      </c>
      <c r="F24" s="15">
        <v>4.6900000000000004</v>
      </c>
      <c r="G24" s="15">
        <v>0.15</v>
      </c>
      <c r="H24" s="16">
        <v>0.47499999999999998</v>
      </c>
    </row>
    <row r="26" spans="1:8" x14ac:dyDescent="0.25">
      <c r="B26" s="4" t="s">
        <v>23</v>
      </c>
      <c r="C26" t="s">
        <v>24</v>
      </c>
    </row>
    <row r="28" spans="1:8" x14ac:dyDescent="0.25">
      <c r="A28" s="1" t="s">
        <v>29</v>
      </c>
    </row>
    <row r="30" spans="1:8" x14ac:dyDescent="0.25">
      <c r="A30" t="s">
        <v>32</v>
      </c>
      <c r="B30">
        <v>1000</v>
      </c>
      <c r="C30" t="s">
        <v>33</v>
      </c>
    </row>
    <row r="32" spans="1:8" x14ac:dyDescent="0.25">
      <c r="B32" s="23" t="s">
        <v>0</v>
      </c>
      <c r="C32" s="23" t="s">
        <v>14</v>
      </c>
      <c r="D32" s="23" t="s">
        <v>15</v>
      </c>
      <c r="E32" s="23" t="s">
        <v>31</v>
      </c>
      <c r="F32" s="23" t="s">
        <v>34</v>
      </c>
      <c r="G32" s="23" t="s">
        <v>35</v>
      </c>
    </row>
    <row r="33" spans="2:7" x14ac:dyDescent="0.25">
      <c r="B33" s="4" t="s">
        <v>18</v>
      </c>
      <c r="C33" s="6">
        <v>5.48</v>
      </c>
      <c r="D33" s="6">
        <v>5</v>
      </c>
      <c r="E33" s="6">
        <f>C33-D33</f>
        <v>0.48000000000000043</v>
      </c>
      <c r="F33" s="26">
        <f>E33/$B$30</f>
        <v>4.8000000000000045E-4</v>
      </c>
      <c r="G33" s="6">
        <f>(F33/$B$13)*100</f>
        <v>20.338983050847478</v>
      </c>
    </row>
    <row r="34" spans="2:7" x14ac:dyDescent="0.25">
      <c r="B34" s="24" t="s">
        <v>19</v>
      </c>
      <c r="C34" s="25">
        <v>4.54</v>
      </c>
      <c r="D34" s="25">
        <v>4.07</v>
      </c>
      <c r="E34" s="25">
        <f t="shared" ref="E34:E37" si="0">C34-D34</f>
        <v>0.46999999999999975</v>
      </c>
      <c r="F34" s="27">
        <f t="shared" ref="F34:F37" si="1">E34/$B$30</f>
        <v>4.6999999999999977E-4</v>
      </c>
      <c r="G34" s="25">
        <f t="shared" ref="G34:G37" si="2">(F34/$B$13)*100</f>
        <v>19.915254237288131</v>
      </c>
    </row>
    <row r="35" spans="2:7" x14ac:dyDescent="0.25">
      <c r="B35" s="4" t="s">
        <v>20</v>
      </c>
      <c r="C35" s="6">
        <v>5.79</v>
      </c>
      <c r="D35" s="6">
        <v>5.32</v>
      </c>
      <c r="E35" s="6">
        <f>C35-D35</f>
        <v>0.46999999999999975</v>
      </c>
      <c r="F35" s="26">
        <f t="shared" si="1"/>
        <v>4.6999999999999977E-4</v>
      </c>
      <c r="G35" s="6">
        <f t="shared" si="2"/>
        <v>19.915254237288131</v>
      </c>
    </row>
    <row r="36" spans="2:7" x14ac:dyDescent="0.25">
      <c r="B36" s="24" t="s">
        <v>21</v>
      </c>
      <c r="C36" s="25">
        <v>4.8499999999999996</v>
      </c>
      <c r="D36" s="25">
        <v>4.38</v>
      </c>
      <c r="E36" s="25">
        <f>C36-D36</f>
        <v>0.46999999999999975</v>
      </c>
      <c r="F36" s="27">
        <f t="shared" si="1"/>
        <v>4.6999999999999977E-4</v>
      </c>
      <c r="G36" s="25">
        <f t="shared" si="2"/>
        <v>19.915254237288131</v>
      </c>
    </row>
    <row r="37" spans="2:7" x14ac:dyDescent="0.25">
      <c r="B37" s="4" t="s">
        <v>22</v>
      </c>
      <c r="C37" s="6">
        <v>5.16</v>
      </c>
      <c r="D37" s="6">
        <v>4.6900000000000004</v>
      </c>
      <c r="E37" s="6">
        <f t="shared" si="0"/>
        <v>0.46999999999999975</v>
      </c>
      <c r="F37" s="26">
        <f t="shared" si="1"/>
        <v>4.6999999999999977E-4</v>
      </c>
      <c r="G37" s="6">
        <f t="shared" si="2"/>
        <v>19.915254237288131</v>
      </c>
    </row>
    <row r="39" spans="2:7" x14ac:dyDescent="0.25">
      <c r="D39" t="s">
        <v>30</v>
      </c>
    </row>
    <row r="40" spans="2:7" x14ac:dyDescent="0.25">
      <c r="D40" t="s">
        <v>36</v>
      </c>
    </row>
    <row r="42" spans="2:7" x14ac:dyDescent="0.25">
      <c r="D42" t="s">
        <v>37</v>
      </c>
    </row>
    <row r="44" spans="2:7" x14ac:dyDescent="0.25">
      <c r="D44" t="s">
        <v>38</v>
      </c>
    </row>
    <row r="46" spans="2:7" x14ac:dyDescent="0.25">
      <c r="D46" t="s">
        <v>42</v>
      </c>
    </row>
    <row r="52" spans="1:7" x14ac:dyDescent="0.25">
      <c r="A52" t="s">
        <v>39</v>
      </c>
    </row>
    <row r="54" spans="1:7" x14ac:dyDescent="0.25">
      <c r="B54" s="23" t="s">
        <v>0</v>
      </c>
      <c r="C54" s="23" t="s">
        <v>14</v>
      </c>
      <c r="D54" s="23" t="s">
        <v>15</v>
      </c>
      <c r="E54" s="23" t="s">
        <v>40</v>
      </c>
      <c r="F54" s="23" t="s">
        <v>41</v>
      </c>
      <c r="G54" s="23" t="s">
        <v>35</v>
      </c>
    </row>
    <row r="55" spans="1:7" x14ac:dyDescent="0.25">
      <c r="B55" s="4" t="s">
        <v>18</v>
      </c>
      <c r="C55" s="6">
        <v>5.48</v>
      </c>
      <c r="D55" s="6">
        <v>5</v>
      </c>
      <c r="E55" s="6">
        <f>C55/$B$13</f>
        <v>2322.0338983050851</v>
      </c>
      <c r="F55" s="26">
        <f>D55/$B$13</f>
        <v>2118.6440677966107</v>
      </c>
      <c r="G55" s="6">
        <f>(1 -(F55/E55))*100</f>
        <v>8.7591240875912302</v>
      </c>
    </row>
    <row r="56" spans="1:7" x14ac:dyDescent="0.25">
      <c r="B56" s="24" t="s">
        <v>19</v>
      </c>
      <c r="C56" s="25">
        <v>4.54</v>
      </c>
      <c r="D56" s="25">
        <v>4.07</v>
      </c>
      <c r="E56" s="25">
        <f t="shared" ref="E56:E59" si="3">C56/$B$13</f>
        <v>1923.7288135593224</v>
      </c>
      <c r="F56" s="27">
        <f t="shared" ref="F56:F59" si="4">D56/$B$13</f>
        <v>1724.5762711864411</v>
      </c>
      <c r="G56" s="25">
        <f t="shared" ref="G56:G59" si="5">(1 -(F56/E56))*100</f>
        <v>10.352422907488979</v>
      </c>
    </row>
    <row r="57" spans="1:7" x14ac:dyDescent="0.25">
      <c r="B57" s="4" t="s">
        <v>20</v>
      </c>
      <c r="C57" s="6">
        <v>5.79</v>
      </c>
      <c r="D57" s="6">
        <v>5.32</v>
      </c>
      <c r="E57" s="6">
        <f t="shared" si="3"/>
        <v>2453.3898305084749</v>
      </c>
      <c r="F57" s="26">
        <f t="shared" si="4"/>
        <v>2254.2372881355936</v>
      </c>
      <c r="G57" s="6">
        <f t="shared" si="5"/>
        <v>8.1174438687392048</v>
      </c>
    </row>
    <row r="58" spans="1:7" x14ac:dyDescent="0.25">
      <c r="B58" s="24" t="s">
        <v>21</v>
      </c>
      <c r="C58" s="25">
        <v>4.8499999999999996</v>
      </c>
      <c r="D58" s="25">
        <v>4.38</v>
      </c>
      <c r="E58" s="25">
        <f t="shared" si="3"/>
        <v>2055.0847457627119</v>
      </c>
      <c r="F58" s="27">
        <f t="shared" si="4"/>
        <v>1855.9322033898306</v>
      </c>
      <c r="G58" s="25">
        <f t="shared" si="5"/>
        <v>9.6907216494845354</v>
      </c>
    </row>
    <row r="59" spans="1:7" x14ac:dyDescent="0.25">
      <c r="B59" s="4" t="s">
        <v>22</v>
      </c>
      <c r="C59" s="6">
        <v>5.16</v>
      </c>
      <c r="D59" s="6">
        <v>4.6900000000000004</v>
      </c>
      <c r="E59" s="6">
        <f t="shared" si="3"/>
        <v>2186.4406779661022</v>
      </c>
      <c r="F59" s="26">
        <f t="shared" si="4"/>
        <v>1987.2881355932207</v>
      </c>
      <c r="G59" s="6">
        <f t="shared" si="5"/>
        <v>9.1085271317829513</v>
      </c>
    </row>
    <row r="61" spans="1:7" x14ac:dyDescent="0.25">
      <c r="A61" s="1" t="s">
        <v>43</v>
      </c>
    </row>
    <row r="63" spans="1:7" x14ac:dyDescent="0.25">
      <c r="A63" t="s">
        <v>44</v>
      </c>
      <c r="B63" s="30">
        <v>1</v>
      </c>
      <c r="C63" s="29" t="s">
        <v>45</v>
      </c>
      <c r="D63" s="28"/>
      <c r="E63" s="28"/>
      <c r="F63" s="28"/>
      <c r="G63" s="28"/>
    </row>
    <row r="64" spans="1:7" x14ac:dyDescent="0.25">
      <c r="B64" s="4"/>
      <c r="C64" s="6"/>
      <c r="D64" s="6"/>
      <c r="E64" s="6"/>
      <c r="F64" s="26"/>
      <c r="G64" s="6"/>
    </row>
    <row r="65" spans="2:8" x14ac:dyDescent="0.25">
      <c r="B65" s="23" t="s">
        <v>0</v>
      </c>
      <c r="C65" s="23" t="s">
        <v>12</v>
      </c>
      <c r="D65" s="23" t="s">
        <v>16</v>
      </c>
      <c r="E65" s="23" t="s">
        <v>17</v>
      </c>
      <c r="F65" s="23" t="s">
        <v>47</v>
      </c>
      <c r="G65" s="23" t="s">
        <v>46</v>
      </c>
      <c r="H65" s="28"/>
    </row>
    <row r="66" spans="2:8" x14ac:dyDescent="0.25">
      <c r="B66" s="4" t="s">
        <v>18</v>
      </c>
      <c r="C66" s="6">
        <v>0.5</v>
      </c>
      <c r="D66" s="6">
        <v>0.02</v>
      </c>
      <c r="E66" s="6">
        <v>0.04</v>
      </c>
      <c r="F66" s="6">
        <f>(((1)*(D66^(2)))*864)</f>
        <v>0.34560000000000002</v>
      </c>
      <c r="G66" s="6">
        <f>E66/D66</f>
        <v>2</v>
      </c>
      <c r="H66" s="6"/>
    </row>
    <row r="67" spans="2:8" x14ac:dyDescent="0.25">
      <c r="B67" s="24" t="s">
        <v>19</v>
      </c>
      <c r="C67" s="25">
        <v>1.1000000000000001</v>
      </c>
      <c r="D67" s="25">
        <v>0.1</v>
      </c>
      <c r="E67" s="25">
        <v>0.28000000000000003</v>
      </c>
      <c r="F67" s="25">
        <f>(((1)*(D67^(2)))*864)</f>
        <v>8.6400000000000023</v>
      </c>
      <c r="G67" s="25">
        <f t="shared" ref="G67:G70" si="6">E67/D67</f>
        <v>2.8000000000000003</v>
      </c>
      <c r="H67" s="6"/>
    </row>
    <row r="68" spans="2:8" x14ac:dyDescent="0.25">
      <c r="B68" s="4" t="s">
        <v>20</v>
      </c>
      <c r="C68" s="6">
        <v>3.4</v>
      </c>
      <c r="D68" s="6">
        <v>1</v>
      </c>
      <c r="E68" s="6">
        <v>10</v>
      </c>
      <c r="F68" s="6">
        <f>(((1)*(D68^(2)))*864)</f>
        <v>864</v>
      </c>
      <c r="G68" s="6">
        <f t="shared" si="6"/>
        <v>10</v>
      </c>
      <c r="H68" s="6"/>
    </row>
    <row r="69" spans="2:8" x14ac:dyDescent="0.25">
      <c r="B69" s="24" t="s">
        <v>21</v>
      </c>
      <c r="C69" s="25">
        <v>3.6</v>
      </c>
      <c r="D69" s="25">
        <v>0.11</v>
      </c>
      <c r="E69" s="25">
        <v>0.3</v>
      </c>
      <c r="F69" s="25">
        <f t="shared" ref="F69:F70" si="7">(((1)*(D69^(2)))*864)</f>
        <v>10.4544</v>
      </c>
      <c r="G69" s="25">
        <f t="shared" si="6"/>
        <v>2.7272727272727271</v>
      </c>
      <c r="H69" s="6"/>
    </row>
    <row r="70" spans="2:8" x14ac:dyDescent="0.25">
      <c r="B70" s="4" t="s">
        <v>22</v>
      </c>
      <c r="C70" s="6">
        <v>8.1999999999999993</v>
      </c>
      <c r="D70" s="6">
        <v>0.15</v>
      </c>
      <c r="E70" s="6">
        <v>0.47499999999999998</v>
      </c>
      <c r="F70" s="6">
        <f t="shared" si="7"/>
        <v>19.439999999999998</v>
      </c>
      <c r="G70" s="6">
        <f t="shared" si="6"/>
        <v>3.1666666666666665</v>
      </c>
      <c r="H70" s="6"/>
    </row>
    <row r="72" spans="2:8" x14ac:dyDescent="0.25">
      <c r="D72" s="1" t="s">
        <v>48</v>
      </c>
    </row>
    <row r="81" spans="1:7" x14ac:dyDescent="0.25">
      <c r="A81" s="1" t="s">
        <v>49</v>
      </c>
    </row>
    <row r="83" spans="1:7" x14ac:dyDescent="0.25">
      <c r="A83" t="s">
        <v>53</v>
      </c>
      <c r="B83" s="2">
        <v>0.5</v>
      </c>
      <c r="C83" t="s">
        <v>7</v>
      </c>
    </row>
    <row r="85" spans="1:7" x14ac:dyDescent="0.25">
      <c r="A85" t="s">
        <v>52</v>
      </c>
      <c r="B85" s="5">
        <f>$D$24-B83</f>
        <v>9.5</v>
      </c>
      <c r="C85" t="s">
        <v>7</v>
      </c>
    </row>
    <row r="87" spans="1:7" x14ac:dyDescent="0.25">
      <c r="A87" s="31" t="s">
        <v>50</v>
      </c>
      <c r="C87" s="6">
        <f>AVERAGE(F66:F70)</f>
        <v>180.57599999999996</v>
      </c>
      <c r="D87" t="s">
        <v>51</v>
      </c>
    </row>
    <row r="89" spans="1:7" x14ac:dyDescent="0.25">
      <c r="A89" t="s">
        <v>54</v>
      </c>
      <c r="B89">
        <f>C87*B85</f>
        <v>1715.4719999999998</v>
      </c>
      <c r="C89" t="s">
        <v>55</v>
      </c>
    </row>
    <row r="91" spans="1:7" ht="15.75" thickBot="1" x14ac:dyDescent="0.3">
      <c r="A91" s="1" t="s">
        <v>56</v>
      </c>
    </row>
    <row r="92" spans="1:7" ht="15.75" thickBot="1" x14ac:dyDescent="0.3">
      <c r="B92" s="17" t="s">
        <v>0</v>
      </c>
      <c r="C92" s="18" t="s">
        <v>12</v>
      </c>
      <c r="D92" s="18" t="s">
        <v>13</v>
      </c>
      <c r="E92" s="18" t="s">
        <v>58</v>
      </c>
      <c r="F92" s="23" t="s">
        <v>47</v>
      </c>
      <c r="G92" s="23" t="s">
        <v>60</v>
      </c>
    </row>
    <row r="93" spans="1:7" x14ac:dyDescent="0.25">
      <c r="B93" s="10" t="s">
        <v>18</v>
      </c>
      <c r="C93" s="9">
        <v>0.5</v>
      </c>
      <c r="D93" s="9">
        <v>1.1000000000000001</v>
      </c>
      <c r="E93" s="9">
        <f>D93-C93</f>
        <v>0.60000000000000009</v>
      </c>
      <c r="F93" s="6">
        <f>F66</f>
        <v>0.34560000000000002</v>
      </c>
      <c r="G93">
        <f>E93/F93</f>
        <v>1.7361111111111114</v>
      </c>
    </row>
    <row r="94" spans="1:7" x14ac:dyDescent="0.25">
      <c r="B94" s="20" t="s">
        <v>19</v>
      </c>
      <c r="C94" s="21">
        <v>1.1000000000000001</v>
      </c>
      <c r="D94" s="21">
        <v>3.4</v>
      </c>
      <c r="E94" s="9">
        <f>D94-C94</f>
        <v>2.2999999999999998</v>
      </c>
      <c r="F94" s="6">
        <f t="shared" ref="F94:F97" si="8">F67</f>
        <v>8.6400000000000023</v>
      </c>
      <c r="G94">
        <f t="shared" ref="G94:G97" si="9">E94/F94</f>
        <v>0.26620370370370361</v>
      </c>
    </row>
    <row r="95" spans="1:7" x14ac:dyDescent="0.25">
      <c r="B95" s="12" t="s">
        <v>20</v>
      </c>
      <c r="C95" s="8">
        <v>3.4</v>
      </c>
      <c r="D95" s="8">
        <v>3.6</v>
      </c>
      <c r="E95" s="9">
        <f t="shared" ref="E95:E97" si="10">D95-C95</f>
        <v>0.20000000000000018</v>
      </c>
      <c r="F95" s="6">
        <f t="shared" si="8"/>
        <v>864</v>
      </c>
      <c r="G95">
        <f t="shared" si="9"/>
        <v>2.3148148148148168E-4</v>
      </c>
    </row>
    <row r="96" spans="1:7" x14ac:dyDescent="0.25">
      <c r="B96" s="20" t="s">
        <v>21</v>
      </c>
      <c r="C96" s="21">
        <v>3.6</v>
      </c>
      <c r="D96" s="21">
        <v>8.1999999999999993</v>
      </c>
      <c r="E96" s="9">
        <f t="shared" si="10"/>
        <v>4.5999999999999996</v>
      </c>
      <c r="F96" s="6">
        <f t="shared" si="8"/>
        <v>10.4544</v>
      </c>
      <c r="G96">
        <f t="shared" si="9"/>
        <v>0.4400061218243036</v>
      </c>
    </row>
    <row r="97" spans="1:7" ht="15.75" thickBot="1" x14ac:dyDescent="0.3">
      <c r="B97" s="14" t="s">
        <v>22</v>
      </c>
      <c r="C97" s="15">
        <v>8.1999999999999993</v>
      </c>
      <c r="D97" s="15">
        <v>10</v>
      </c>
      <c r="E97" s="9">
        <f t="shared" si="10"/>
        <v>1.8000000000000007</v>
      </c>
      <c r="F97" s="6">
        <f t="shared" si="8"/>
        <v>19.439999999999998</v>
      </c>
      <c r="G97">
        <f t="shared" si="9"/>
        <v>9.2592592592592643E-2</v>
      </c>
    </row>
    <row r="100" spans="1:7" x14ac:dyDescent="0.25">
      <c r="D100" t="s">
        <v>62</v>
      </c>
    </row>
    <row r="106" spans="1:7" x14ac:dyDescent="0.25">
      <c r="A106" s="31" t="s">
        <v>57</v>
      </c>
      <c r="C106">
        <f>$B$85/(SUM(G93:G97))</f>
        <v>3.7473201571721688</v>
      </c>
      <c r="D106" t="s">
        <v>51</v>
      </c>
    </row>
    <row r="108" spans="1:7" x14ac:dyDescent="0.25">
      <c r="A108" t="s">
        <v>61</v>
      </c>
      <c r="B108">
        <f>C87/C106</f>
        <v>48.18803636363635</v>
      </c>
    </row>
    <row r="110" spans="1:7" ht="15.75" thickBot="1" x14ac:dyDescent="0.3">
      <c r="A110" s="1" t="s">
        <v>63</v>
      </c>
    </row>
    <row r="111" spans="1:7" ht="15.75" thickBot="1" x14ac:dyDescent="0.3">
      <c r="B111" s="17" t="s">
        <v>0</v>
      </c>
      <c r="C111" s="18" t="s">
        <v>12</v>
      </c>
      <c r="D111" s="18" t="s">
        <v>13</v>
      </c>
      <c r="E111" s="18" t="s">
        <v>58</v>
      </c>
      <c r="F111" s="23" t="s">
        <v>47</v>
      </c>
      <c r="G111" s="23" t="s">
        <v>60</v>
      </c>
    </row>
    <row r="112" spans="1:7" x14ac:dyDescent="0.25">
      <c r="B112" s="10" t="s">
        <v>18</v>
      </c>
      <c r="C112" s="9">
        <v>0.5</v>
      </c>
      <c r="D112" s="9">
        <v>1.1000000000000001</v>
      </c>
      <c r="E112" s="9">
        <f>D112-C112</f>
        <v>0.60000000000000009</v>
      </c>
      <c r="F112" s="6">
        <f>F93</f>
        <v>0.34560000000000002</v>
      </c>
      <c r="G112">
        <f>E112/F112</f>
        <v>1.7361111111111114</v>
      </c>
    </row>
    <row r="113" spans="1:7" x14ac:dyDescent="0.25">
      <c r="B113" s="20" t="s">
        <v>19</v>
      </c>
      <c r="C113" s="21">
        <v>1.1000000000000001</v>
      </c>
      <c r="D113" s="21">
        <v>3.4</v>
      </c>
      <c r="E113" s="9">
        <f t="shared" ref="E113:E117" si="11">D113-C113</f>
        <v>2.2999999999999998</v>
      </c>
      <c r="F113" s="6">
        <f>F94</f>
        <v>8.6400000000000023</v>
      </c>
      <c r="G113">
        <f t="shared" ref="G113:G117" si="12">E113/F113</f>
        <v>0.26620370370370361</v>
      </c>
    </row>
    <row r="114" spans="1:7" x14ac:dyDescent="0.25">
      <c r="B114" s="12" t="s">
        <v>20</v>
      </c>
      <c r="C114" s="8">
        <v>3.4</v>
      </c>
      <c r="D114" s="8">
        <v>3.6</v>
      </c>
      <c r="E114" s="9">
        <f t="shared" si="11"/>
        <v>0.20000000000000018</v>
      </c>
      <c r="F114" s="6">
        <f>F95</f>
        <v>864</v>
      </c>
      <c r="G114">
        <f t="shared" si="12"/>
        <v>2.3148148148148168E-4</v>
      </c>
    </row>
    <row r="115" spans="1:7" x14ac:dyDescent="0.25">
      <c r="B115" s="12" t="s">
        <v>64</v>
      </c>
      <c r="C115" s="8">
        <v>3.6</v>
      </c>
      <c r="D115" s="21">
        <v>3.7</v>
      </c>
      <c r="E115" s="9">
        <f t="shared" si="11"/>
        <v>0.10000000000000009</v>
      </c>
      <c r="F115" s="32">
        <v>1E-4</v>
      </c>
      <c r="G115">
        <f>E115/F115</f>
        <v>1000.0000000000008</v>
      </c>
    </row>
    <row r="116" spans="1:7" x14ac:dyDescent="0.25">
      <c r="B116" s="20" t="s">
        <v>21</v>
      </c>
      <c r="C116" s="21">
        <v>3.7</v>
      </c>
      <c r="D116" s="21">
        <v>8.1999999999999993</v>
      </c>
      <c r="E116" s="9">
        <f t="shared" si="11"/>
        <v>4.4999999999999991</v>
      </c>
      <c r="F116" s="6">
        <f>F96</f>
        <v>10.4544</v>
      </c>
      <c r="G116">
        <f t="shared" si="12"/>
        <v>0.43044077134986219</v>
      </c>
    </row>
    <row r="117" spans="1:7" ht="15.75" thickBot="1" x14ac:dyDescent="0.3">
      <c r="B117" s="14" t="s">
        <v>22</v>
      </c>
      <c r="C117" s="15">
        <v>8.1999999999999993</v>
      </c>
      <c r="D117" s="15">
        <v>10</v>
      </c>
      <c r="E117" s="9">
        <f t="shared" si="11"/>
        <v>1.8000000000000007</v>
      </c>
      <c r="F117" s="6">
        <f>F97</f>
        <v>19.439999999999998</v>
      </c>
      <c r="G117">
        <f t="shared" si="12"/>
        <v>9.2592592592592643E-2</v>
      </c>
    </row>
    <row r="119" spans="1:7" x14ac:dyDescent="0.25">
      <c r="A119" s="33" t="s">
        <v>66</v>
      </c>
      <c r="C119" s="6">
        <f>AVERAGE(F112:F117)</f>
        <v>150.48001666666664</v>
      </c>
      <c r="D119" t="s">
        <v>51</v>
      </c>
    </row>
    <row r="120" spans="1:7" x14ac:dyDescent="0.25">
      <c r="A120" s="33"/>
    </row>
    <row r="121" spans="1:7" x14ac:dyDescent="0.25">
      <c r="A121" s="33" t="s">
        <v>67</v>
      </c>
      <c r="C121">
        <f>$B$85/(SUM(G112:G117))</f>
        <v>9.476067436822503E-3</v>
      </c>
      <c r="D121" t="s">
        <v>51</v>
      </c>
    </row>
    <row r="123" spans="1:7" x14ac:dyDescent="0.25">
      <c r="A123" s="1" t="s">
        <v>69</v>
      </c>
    </row>
    <row r="125" spans="1:7" x14ac:dyDescent="0.25">
      <c r="A125" t="s">
        <v>65</v>
      </c>
      <c r="B125">
        <f>C119/C121</f>
        <v>15880.006940634998</v>
      </c>
    </row>
    <row r="127" spans="1:7" x14ac:dyDescent="0.25">
      <c r="A127" t="s">
        <v>68</v>
      </c>
      <c r="B127">
        <f>B125-B108</f>
        <v>15831.818904271362</v>
      </c>
    </row>
    <row r="129" spans="1:6" x14ac:dyDescent="0.25">
      <c r="A129" s="1" t="s">
        <v>70</v>
      </c>
    </row>
    <row r="131" spans="1:6" x14ac:dyDescent="0.25">
      <c r="A131" t="s">
        <v>72</v>
      </c>
      <c r="B131" s="2">
        <v>1</v>
      </c>
      <c r="C131" t="s">
        <v>73</v>
      </c>
    </row>
    <row r="132" spans="1:6" x14ac:dyDescent="0.25">
      <c r="B132">
        <f>B131*1000000</f>
        <v>1000000</v>
      </c>
      <c r="C132" t="s">
        <v>74</v>
      </c>
    </row>
    <row r="134" spans="1:6" x14ac:dyDescent="0.25">
      <c r="A134" t="s">
        <v>75</v>
      </c>
      <c r="B134">
        <v>0.75</v>
      </c>
      <c r="C134" t="s">
        <v>7</v>
      </c>
    </row>
    <row r="136" spans="1:6" x14ac:dyDescent="0.25">
      <c r="B136" s="23" t="s">
        <v>0</v>
      </c>
      <c r="C136" s="23" t="s">
        <v>71</v>
      </c>
      <c r="D136" s="23" t="s">
        <v>76</v>
      </c>
      <c r="E136" s="23"/>
      <c r="F136" s="23"/>
    </row>
    <row r="137" spans="1:6" x14ac:dyDescent="0.25">
      <c r="B137" s="4" t="s">
        <v>18</v>
      </c>
      <c r="C137" s="32">
        <f>$G$55/100</f>
        <v>8.7591240875912302E-2</v>
      </c>
      <c r="D137" s="6">
        <f>$B$132*$B$134*C137</f>
        <v>65693.43065693423</v>
      </c>
      <c r="E137" s="6"/>
      <c r="F137" s="26"/>
    </row>
    <row r="138" spans="1:6" x14ac:dyDescent="0.25">
      <c r="B138" s="24" t="s">
        <v>19</v>
      </c>
      <c r="C138" s="32">
        <f>$G$56/100</f>
        <v>0.10352422907488978</v>
      </c>
      <c r="D138" s="6">
        <f t="shared" ref="D138:D141" si="13">$B$132*$B$134*C138</f>
        <v>77643.171806167331</v>
      </c>
      <c r="E138" s="25"/>
      <c r="F138" s="27"/>
    </row>
    <row r="139" spans="1:6" x14ac:dyDescent="0.25">
      <c r="B139" s="4" t="s">
        <v>20</v>
      </c>
      <c r="C139" s="32">
        <f>$G$57/100</f>
        <v>8.1174438687392048E-2</v>
      </c>
      <c r="D139" s="6">
        <f t="shared" si="13"/>
        <v>60880.829015544034</v>
      </c>
      <c r="E139" s="6"/>
      <c r="F139" s="26"/>
    </row>
    <row r="140" spans="1:6" x14ac:dyDescent="0.25">
      <c r="B140" s="24" t="s">
        <v>21</v>
      </c>
      <c r="C140" s="32">
        <f>$G$58/100</f>
        <v>9.690721649484535E-2</v>
      </c>
      <c r="D140" s="6">
        <f t="shared" si="13"/>
        <v>72680.412371134007</v>
      </c>
      <c r="E140" s="25"/>
      <c r="F140" s="27"/>
    </row>
    <row r="141" spans="1:6" x14ac:dyDescent="0.25">
      <c r="B141" s="4" t="s">
        <v>22</v>
      </c>
      <c r="C141" s="32">
        <f>$G$59/100</f>
        <v>9.1085271317829508E-2</v>
      </c>
      <c r="D141" s="6">
        <f t="shared" si="13"/>
        <v>68313.953488372135</v>
      </c>
      <c r="E141" s="6"/>
      <c r="F141" s="26"/>
    </row>
    <row r="162" spans="1:3" x14ac:dyDescent="0.25">
      <c r="A162" s="1" t="s">
        <v>77</v>
      </c>
    </row>
    <row r="164" spans="1:3" x14ac:dyDescent="0.25">
      <c r="B164" s="4" t="s">
        <v>78</v>
      </c>
      <c r="C164" s="4" t="s">
        <v>79</v>
      </c>
    </row>
    <row r="165" spans="1:3" x14ac:dyDescent="0.25">
      <c r="B165" s="4">
        <v>0.5</v>
      </c>
      <c r="C165" s="4">
        <f>$C$87*($D$97-B165)</f>
        <v>1715.4719999999998</v>
      </c>
    </row>
    <row r="166" spans="1:3" x14ac:dyDescent="0.25">
      <c r="B166" s="4">
        <v>1.5</v>
      </c>
      <c r="C166" s="4">
        <f t="shared" ref="C166:C173" si="14">$C$87*($D$97-B166)</f>
        <v>1534.8959999999997</v>
      </c>
    </row>
    <row r="167" spans="1:3" x14ac:dyDescent="0.25">
      <c r="B167" s="4">
        <v>2.5</v>
      </c>
      <c r="C167" s="4">
        <f t="shared" si="14"/>
        <v>1354.3199999999997</v>
      </c>
    </row>
    <row r="168" spans="1:3" x14ac:dyDescent="0.25">
      <c r="B168" s="4">
        <v>3.5</v>
      </c>
      <c r="C168" s="4">
        <f t="shared" si="14"/>
        <v>1173.7439999999997</v>
      </c>
    </row>
    <row r="169" spans="1:3" x14ac:dyDescent="0.25">
      <c r="B169" s="4">
        <v>4.5</v>
      </c>
      <c r="C169" s="4">
        <f t="shared" si="14"/>
        <v>993.16799999999978</v>
      </c>
    </row>
    <row r="170" spans="1:3" x14ac:dyDescent="0.25">
      <c r="B170" s="4">
        <v>5.5</v>
      </c>
      <c r="C170" s="4">
        <f t="shared" si="14"/>
        <v>812.59199999999987</v>
      </c>
    </row>
    <row r="171" spans="1:3" x14ac:dyDescent="0.25">
      <c r="B171" s="4">
        <v>6.5</v>
      </c>
      <c r="C171" s="4">
        <f t="shared" si="14"/>
        <v>632.01599999999985</v>
      </c>
    </row>
    <row r="172" spans="1:3" x14ac:dyDescent="0.25">
      <c r="B172" s="4">
        <v>7.5</v>
      </c>
      <c r="C172" s="4">
        <f t="shared" si="14"/>
        <v>451.43999999999994</v>
      </c>
    </row>
    <row r="173" spans="1:3" x14ac:dyDescent="0.25">
      <c r="B173" s="4">
        <v>8.5</v>
      </c>
      <c r="C173" s="4">
        <f t="shared" si="14"/>
        <v>270.86399999999992</v>
      </c>
    </row>
    <row r="174" spans="1:3" x14ac:dyDescent="0.25">
      <c r="B174" s="4">
        <v>9.5</v>
      </c>
      <c r="C174" s="4">
        <f>$C$87*($D$97-B174)</f>
        <v>90.287999999999982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initial_without_peoper_horizont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Lockhart</dc:creator>
  <cp:lastModifiedBy>Jonathan Lockhart</cp:lastModifiedBy>
  <dcterms:created xsi:type="dcterms:W3CDTF">2024-11-09T07:43:09Z</dcterms:created>
  <dcterms:modified xsi:type="dcterms:W3CDTF">2024-11-12T00:03:18Z</dcterms:modified>
</cp:coreProperties>
</file>