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e866555ba25a323/Documents/"/>
    </mc:Choice>
  </mc:AlternateContent>
  <xr:revisionPtr revIDLastSave="0" documentId="8_{D0459476-1C98-4854-8660-AAFC92955489}" xr6:coauthVersionLast="47" xr6:coauthVersionMax="47" xr10:uidLastSave="{00000000-0000-0000-0000-000000000000}"/>
  <bookViews>
    <workbookView xWindow="11970" yWindow="8" windowWidth="12240" windowHeight="15472" tabRatio="50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7" i="1"/>
  <c r="C17" i="1"/>
  <c r="E15" i="1"/>
  <c r="E14" i="1"/>
  <c r="C14" i="1"/>
  <c r="C15" i="1"/>
  <c r="F4" i="1"/>
  <c r="H4" i="1"/>
  <c r="I4" i="1"/>
  <c r="E24" i="1"/>
  <c r="F5" i="1"/>
  <c r="H5" i="1"/>
  <c r="I5" i="1"/>
  <c r="J5" i="1"/>
  <c r="J4" i="1"/>
  <c r="C12" i="1"/>
  <c r="L4" i="1"/>
  <c r="D12" i="1"/>
  <c r="M4" i="1"/>
  <c r="E12" i="1"/>
  <c r="N4" i="1"/>
  <c r="F12" i="1"/>
  <c r="O4" i="1"/>
  <c r="G12" i="1"/>
  <c r="P4" i="1"/>
  <c r="H12" i="1"/>
  <c r="Q4" i="1"/>
  <c r="I12" i="1"/>
  <c r="J12" i="1"/>
  <c r="K12" i="1"/>
  <c r="F24" i="1"/>
  <c r="F22" i="1"/>
  <c r="F19" i="1"/>
  <c r="F15" i="1"/>
  <c r="Q5" i="1"/>
  <c r="P5" i="1"/>
  <c r="O5" i="1"/>
  <c r="N5" i="1"/>
  <c r="M5" i="1"/>
  <c r="L5" i="1"/>
  <c r="K5" i="1"/>
  <c r="K4" i="1"/>
</calcChain>
</file>

<file path=xl/sharedStrings.xml><?xml version="1.0" encoding="utf-8"?>
<sst xmlns="http://schemas.openxmlformats.org/spreadsheetml/2006/main" count="45" uniqueCount="33">
  <si>
    <t>Black-Scholes</t>
  </si>
  <si>
    <t>Call Greeks</t>
  </si>
  <si>
    <t>Date</t>
  </si>
  <si>
    <t>S</t>
  </si>
  <si>
    <t>K</t>
  </si>
  <si>
    <t>σ</t>
  </si>
  <si>
    <t>r</t>
  </si>
  <si>
    <t>T</t>
  </si>
  <si>
    <t>δ</t>
  </si>
  <si>
    <t>d1</t>
  </si>
  <si>
    <t>d2</t>
  </si>
  <si>
    <t>C</t>
  </si>
  <si>
    <t>P</t>
  </si>
  <si>
    <t>Δ</t>
  </si>
  <si>
    <t>Γ</t>
  </si>
  <si>
    <t>ν</t>
  </si>
  <si>
    <t>ρ</t>
  </si>
  <si>
    <t>ψ</t>
  </si>
  <si>
    <t>θ</t>
  </si>
  <si>
    <t>Attribution (TLRY 02.09.2021 - 02.10.2021)</t>
  </si>
  <si>
    <t>QTY</t>
  </si>
  <si>
    <t>P/L</t>
  </si>
  <si>
    <t>Attribution</t>
  </si>
  <si>
    <t>Unexplained</t>
  </si>
  <si>
    <t>DgammaDspot</t>
  </si>
  <si>
    <t>P/L Adj</t>
  </si>
  <si>
    <t>DvegaDspot</t>
  </si>
  <si>
    <t>Delta Decay</t>
  </si>
  <si>
    <t>Gamma Decay</t>
  </si>
  <si>
    <t>Vega Decay</t>
  </si>
  <si>
    <t>DgammaDvol</t>
  </si>
  <si>
    <t>Vega Convexity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</si>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</sst>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"/>
    <numFmt numFmtId="166" formatCode="0.0000"/>
    <numFmt numFmtId="167" formatCode="0.000000"/>
  </numFmts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left"/>
    </xf>
    <xf numFmtId="9" fontId="0" fillId="0" borderId="1" xfId="0" applyNumberFormat="1" applyBorder="1" applyAlignment="1">
      <alignment horizontal="center"/>
    </xf>
    <xf numFmtId="38" fontId="0" fillId="0" borderId="1" xfId="0" applyNumberFormat="1" applyBorder="1"/>
    <xf numFmtId="38" fontId="0" fillId="0" borderId="0" xfId="0" applyNumberFormat="1" applyAlignment="1">
      <alignment horizontal="center"/>
    </xf>
    <xf numFmtId="38" fontId="0" fillId="0" borderId="0" xfId="0" applyNumberFormat="1"/>
    <xf numFmtId="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left"/>
    </xf>
    <xf numFmtId="9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4"/>
  <sheetViews>
    <sheetView tabSelected="1" zoomScale="85" zoomScaleNormal="85" workbookViewId="0">
      <selection activeCell="E23" sqref="E23"/>
    </sheetView>
  </sheetViews>
  <sheetFormatPr defaultColWidth="12" defaultRowHeight="15.75"/>
  <cols>
    <col min="1" max="1" width="12" style="1"/>
    <col min="2" max="2" width="14" style="19" customWidth="1"/>
    <col min="3" max="3" width="12" style="19"/>
    <col min="4" max="4" width="12" style="20"/>
    <col min="5" max="5" width="12" style="21"/>
    <col min="6" max="6" width="12.5" style="19" bestFit="1" customWidth="1"/>
    <col min="7" max="7" width="12" style="21"/>
    <col min="8" max="9" width="12" style="23"/>
    <col min="10" max="10" width="12" style="19"/>
    <col min="11" max="11" width="13" style="19" customWidth="1"/>
    <col min="12" max="16384" width="12" style="2"/>
  </cols>
  <sheetData>
    <row r="2" spans="1:17">
      <c r="B2" s="39" t="s">
        <v>0</v>
      </c>
      <c r="C2" s="39"/>
      <c r="D2" s="39"/>
      <c r="E2" s="39"/>
      <c r="F2" s="39"/>
      <c r="G2" s="39"/>
      <c r="H2" s="39"/>
      <c r="I2" s="39"/>
      <c r="J2" s="40"/>
      <c r="K2" s="41"/>
      <c r="L2" s="42" t="s">
        <v>1</v>
      </c>
      <c r="M2" s="43"/>
      <c r="N2" s="43"/>
      <c r="O2" s="43"/>
      <c r="P2" s="43"/>
      <c r="Q2" s="44"/>
    </row>
    <row r="3" spans="1:17">
      <c r="A3" s="3" t="s">
        <v>2</v>
      </c>
      <c r="B3" s="4" t="s">
        <v>3</v>
      </c>
      <c r="C3" s="4" t="s">
        <v>4</v>
      </c>
      <c r="D3" s="5" t="s">
        <v>5</v>
      </c>
      <c r="E3" s="6" t="s">
        <v>6</v>
      </c>
      <c r="F3" s="4" t="s">
        <v>7</v>
      </c>
      <c r="G3" s="7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</row>
    <row r="4" spans="1:17">
      <c r="A4" s="12">
        <v>44587</v>
      </c>
      <c r="B4" s="13">
        <v>937.41</v>
      </c>
      <c r="C4" s="13">
        <v>850</v>
      </c>
      <c r="D4" s="14">
        <v>0.66180000000000005</v>
      </c>
      <c r="E4" s="14">
        <v>1.1900000000000001E-2</v>
      </c>
      <c r="F4" s="15">
        <f>9/365</f>
        <v>2.4657534246575342E-2</v>
      </c>
      <c r="G4" s="14">
        <v>0</v>
      </c>
      <c r="H4" s="16">
        <f>(LN(B4/C4) + (E4-G4+((D4^2)/2))*F4)/(D4*SQRT(F4))</f>
        <v>0.99669927642465972</v>
      </c>
      <c r="I4" s="16">
        <f>(LN(B4/C4) + (E4-G4-((D4^2)/2))*F4)/(D4*SQRT(F4))</f>
        <v>0.89277869083359873</v>
      </c>
      <c r="J4" s="13">
        <f xml:space="preserve"> B4*EXP(-G4*F4)*NORMSDIST(H4) - C4*EXP(-E4*F4)*NORMSDIST(I4)</f>
        <v>96.227719886093951</v>
      </c>
      <c r="K4" s="17">
        <f>C4*EXP(-E4*F4)*NORMSDIST(-I4) - B4*EXP(-G4*F4)*NORMSDIST(-H4)</f>
        <v>8.5683455152738475</v>
      </c>
      <c r="L4" s="18">
        <f>EXP(-G4*F4)*NORMSDIST(H4)</f>
        <v>0.84054474948753977</v>
      </c>
      <c r="M4" s="15">
        <f>(1/(B4*D4*SQRT(F4)))*EXP(-G4*F4)*NORMDIST(H4,0,1,FALSE)</f>
        <v>2.4920845784724651E-3</v>
      </c>
      <c r="N4" s="15">
        <f>B4*EXP(-G4*F4)*NORMDIST(H4,0,1,FALSE)*SQRT(F4)</f>
        <v>35.735375484762166</v>
      </c>
      <c r="O4" s="15">
        <f>F4*C4*EXP(-E4*F4)*NORMSDIST(I4)/10000</f>
        <v>1.7055797270079964E-3</v>
      </c>
      <c r="P4" s="15">
        <f>-F4*B4*EXP(-G4*F4)*NORMSDIST(H4)/10000</f>
        <v>-1.9428535568641184E-3</v>
      </c>
      <c r="Q4" s="15">
        <f>(1/365)*(G4*B4*EXP(-G4*F4)*NORMSDIST(H4) - E4*C4*EXP(-E4*F4)*NORMSDIST(I4) - ((D4/(2*SQRT(F4)))*B4*EXP(-G4*F4)*NORMDIST(H4,0,1,FALSE)))</f>
        <v>-1.3364221928246396</v>
      </c>
    </row>
    <row r="5" spans="1:17">
      <c r="A5" s="12">
        <v>44588</v>
      </c>
      <c r="B5" s="13">
        <v>829.1</v>
      </c>
      <c r="C5" s="13">
        <v>850</v>
      </c>
      <c r="D5" s="14">
        <v>0.70430000000000004</v>
      </c>
      <c r="E5" s="14">
        <v>1.1900000000000001E-2</v>
      </c>
      <c r="F5" s="15">
        <f>8/365</f>
        <v>2.1917808219178082E-2</v>
      </c>
      <c r="G5" s="14">
        <v>0</v>
      </c>
      <c r="H5" s="16">
        <f>(LN(B5/C5) + (E5-G5+((D5^2)/2))*F5)/(D5*SQRT(F5))</f>
        <v>-0.18412632871086121</v>
      </c>
      <c r="I5" s="16">
        <f>(LN(B5/C5) + (E5-G5-((D5^2)/2))*F5)/(D5*SQRT(F5))</f>
        <v>-0.28839557869929588</v>
      </c>
      <c r="J5" s="13">
        <f xml:space="preserve"> B5*EXP(-G5*F5)*NORMSDIST(H5) - C5*EXP(-E5*F5)*NORMSDIST(I5)</f>
        <v>25.5321954648972</v>
      </c>
      <c r="K5" s="13">
        <f>C5*EXP(-E5*F5)*NORMSDIST(-I5) - B5*EXP(-G5*F5)*NORMSDIST(-H5)</f>
        <v>46.210525744177858</v>
      </c>
      <c r="L5" s="18">
        <f>EXP(-G5*F5)*NORMSDIST(H5)</f>
        <v>0.42695717612777145</v>
      </c>
      <c r="M5" s="15">
        <f>(1/(B5*D5*SQRT(F5)))*EXP(-G5*F5)*NORMDIST(H5,0,1,FALSE)</f>
        <v>4.5371701438357125E-3</v>
      </c>
      <c r="N5" s="15">
        <f>B5*EXP(-G5*F5)*NORMDIST(H5,0,1,FALSE)*SQRT(F5)</f>
        <v>48.145278895724935</v>
      </c>
      <c r="O5" s="15">
        <f>F5*C5*EXP(-E5*F5)*NORMSDIST(I5)/10000</f>
        <v>7.199079435893437E-4</v>
      </c>
      <c r="P5" s="15">
        <f>-F5*B5*EXP(-G5*F5)*NORMSDIST(H5)/10000</f>
        <v>-7.7586891995076236E-4</v>
      </c>
      <c r="Q5" s="15">
        <f>(1/365)*(G5*B5*EXP(-G5*F5)*NORMSDIST(H5) - E5*C5*EXP(-E5*F5)*NORMSDIST(I5) - (D5/(2*SQRT(F5)))*B5*EXP(-G5*F5)*NORMDIST(H5,0,1,FALSE))</f>
        <v>-2.1300036260520838</v>
      </c>
    </row>
    <row r="6" spans="1:17">
      <c r="F6" s="22"/>
    </row>
    <row r="7" spans="1:17">
      <c r="F7" s="22"/>
    </row>
    <row r="8" spans="1:17">
      <c r="F8" s="22"/>
    </row>
    <row r="9" spans="1:17">
      <c r="F9" s="22"/>
    </row>
    <row r="10" spans="1:17">
      <c r="D10" s="45" t="s">
        <v>19</v>
      </c>
      <c r="E10" s="43"/>
      <c r="F10" s="43"/>
      <c r="G10" s="43"/>
      <c r="H10" s="43"/>
      <c r="I10" s="43"/>
      <c r="J10" s="46"/>
      <c r="K10" s="47"/>
    </row>
    <row r="11" spans="1:17">
      <c r="B11" s="4" t="s">
        <v>20</v>
      </c>
      <c r="C11" s="24" t="s">
        <v>21</v>
      </c>
      <c r="D11" s="11" t="s">
        <v>13</v>
      </c>
      <c r="E11" s="11" t="s">
        <v>14</v>
      </c>
      <c r="F11" s="11" t="s">
        <v>15</v>
      </c>
      <c r="G11" s="11" t="s">
        <v>16</v>
      </c>
      <c r="H11" s="11" t="s">
        <v>17</v>
      </c>
      <c r="I11" s="11" t="s">
        <v>18</v>
      </c>
      <c r="J11" s="9" t="s">
        <v>22</v>
      </c>
      <c r="K11" s="25" t="s">
        <v>23</v>
      </c>
    </row>
    <row r="12" spans="1:17">
      <c r="B12" s="26">
        <v>-100000</v>
      </c>
      <c r="C12" s="27">
        <f>B12*(J5-J4)</f>
        <v>7069552.4421196748</v>
      </c>
      <c r="D12" s="28">
        <f>B12*L4*(B5-B4)</f>
        <v>9103940.1816995386</v>
      </c>
      <c r="E12" s="28">
        <f>B12*(1/2)*M4*(B5-B4)^2</f>
        <v>-1461739.1998002657</v>
      </c>
      <c r="F12" s="28">
        <f>B12*N4*(D5-D4)</f>
        <v>-151875.34581023915</v>
      </c>
      <c r="G12" s="28">
        <f>B12*$O$4*($E$5-$E$4)*10000</f>
        <v>0</v>
      </c>
      <c r="H12" s="28">
        <f>B12*$P$4*($G$5-$G$4)*10000</f>
        <v>0</v>
      </c>
      <c r="I12" s="28">
        <f>B12*Q4*(A5-A4)</f>
        <v>133642.21928246395</v>
      </c>
      <c r="J12" s="28">
        <f>SUM(D12:I12)</f>
        <v>7623967.8553714976</v>
      </c>
      <c r="K12" s="28">
        <f>C12-J12</f>
        <v>-554415.41325182281</v>
      </c>
      <c r="L12" s="19"/>
      <c r="M12" s="29"/>
      <c r="N12" s="19"/>
      <c r="O12" s="29"/>
      <c r="P12" s="19"/>
    </row>
    <row r="14" spans="1:17">
      <c r="B14" s="30" t="s">
        <v>24</v>
      </c>
      <c r="C14" s="18">
        <f>(-(1/((B4^2)*D4*SQRT(F4)))*EXP(-G4*F4)*_xlfn.PHI(H4)*((H4/(D4*SQRT(F4)))+1))</f>
        <v>-2.8155870313172103E-5</v>
      </c>
      <c r="D14" s="31" t="s">
        <v>25</v>
      </c>
      <c r="E14" s="32">
        <f>B12*C14*(B5-B4)^(3)/6</f>
        <v>-596243.1096919683</v>
      </c>
    </row>
    <row r="15" spans="1:17">
      <c r="B15" s="30" t="s">
        <v>26</v>
      </c>
      <c r="C15" s="18">
        <f>(-EXP(-G4*F4)*_xlfn.PHI(H4)*(I4/D4))</f>
        <v>-0.32749976909627965</v>
      </c>
      <c r="D15" s="31" t="s">
        <v>25</v>
      </c>
      <c r="E15" s="32">
        <f>B12*C15*(B4-B5)*(D4-D5)</f>
        <v>-150753.87496097657</v>
      </c>
      <c r="F15" s="33">
        <f>SUM(E14:E15)</f>
        <v>-746996.98465294484</v>
      </c>
    </row>
    <row r="16" spans="1:17">
      <c r="E16" s="34"/>
    </row>
    <row r="17" spans="2:7" s="2" customFormat="1">
      <c r="B17" s="30" t="s">
        <v>27</v>
      </c>
      <c r="C17" s="18">
        <f>(G4*EXP(-G4*F4)*_xlfn.NORM.DIST(H4,0,1,TRUE)-EXP(-G4*F4)*NORMDIST(H4,0,1,FALSE)*(2*(E4-G4)*F4-I4*D4*SQRT(F4))/(2*D4*F4*SQRT(F4)))/365</f>
        <v>1.1964911420332121E-2</v>
      </c>
      <c r="D17" s="31" t="s">
        <v>25</v>
      </c>
      <c r="E17" s="32">
        <f>-C17*(F5-F4)*(B5-B4)*B12*365</f>
        <v>129591.95559361708</v>
      </c>
    </row>
    <row r="18" spans="2:7" s="2" customFormat="1">
      <c r="B18" s="30" t="s">
        <v>28</v>
      </c>
      <c r="C18" s="18">
        <f>1/(2*B4*D4*F4*SQRT(F4))*EXP(-G4*F4)*NORMDIST(H4,0,1,FALSE)*(1+2*G4*F4+(2*(E4-G4)*F4*H4-H4*I4*D4*SQRT(F4))/(D4*SQRT(F4)))/365</f>
        <v>1.6031937200675142E-5</v>
      </c>
      <c r="D18" s="31" t="s">
        <v>25</v>
      </c>
      <c r="E18" s="32">
        <f>-1/(2)*C18*B12*(F5-F4)*(B5-B4)^2*365</f>
        <v>-9403.5777346398409</v>
      </c>
    </row>
    <row r="19" spans="2:7" s="2" customFormat="1">
      <c r="B19" s="30" t="s">
        <v>29</v>
      </c>
      <c r="C19" s="18">
        <f>B4*EXP(-G4*F4)*NORMDIST(H4,0,1,FALSE)*SQRT(F4)*(G4+(E4-G4)*H4/(D4*SQRT(F4))-(1+H4*I4)/(2*F4))/365</f>
        <v>-3.7407064848317582</v>
      </c>
      <c r="D19" s="31" t="s">
        <v>25</v>
      </c>
      <c r="E19" s="32">
        <f>-C19*(F5-F4)*(D5-D4)*B12*365</f>
        <v>15898.002560534958</v>
      </c>
      <c r="F19" s="33">
        <f>SUM(E17:E19)</f>
        <v>136086.38041951219</v>
      </c>
      <c r="G19" s="35"/>
    </row>
    <row r="20" spans="2:7" s="2" customFormat="1">
      <c r="B20" s="19"/>
      <c r="C20" s="19"/>
      <c r="D20" s="20"/>
      <c r="E20" s="34"/>
    </row>
    <row r="21" spans="2:7" s="2" customFormat="1">
      <c r="B21" s="30" t="s">
        <v>30</v>
      </c>
      <c r="C21" s="18">
        <f>1/(B4*D4^(2)*SQRT(F4))*EXP(-G4*F4)*NORMDIST(H4,0,1,FALSE)*(H4*I4-1)</f>
        <v>-4.148508385463821E-4</v>
      </c>
      <c r="D21" s="31" t="s">
        <v>25</v>
      </c>
      <c r="E21" s="32">
        <f>1/(2)*C21*(D5-D4)*(B5-B4)^(2)*B12</f>
        <v>10341.606727754244</v>
      </c>
    </row>
    <row r="22" spans="2:7" s="2" customFormat="1">
      <c r="B22" s="30" t="s">
        <v>31</v>
      </c>
      <c r="C22" s="18">
        <f>B4*EXP(-G4*F4)*NORMDIST(H4,0,1,FALSE)*SQRT(F4)*H4*I4/D4</f>
        <v>48.048468082797818</v>
      </c>
      <c r="D22" s="31" t="s">
        <v>25</v>
      </c>
      <c r="E22" s="32">
        <f>1/(2)*C22*(D5-D4)^2*B12</f>
        <v>-4339.377273727674</v>
      </c>
      <c r="F22" s="33">
        <f>SUM(E21:E22)</f>
        <v>6002.2294540265702</v>
      </c>
    </row>
    <row r="24" spans="2:7" s="2" customFormat="1">
      <c r="B24" s="36" t="s">
        <v>32</v>
      </c>
      <c r="C24" s="17"/>
      <c r="D24" s="37"/>
      <c r="E24" s="38">
        <f>SUM(E14:E15,E17:E19,E21:E22)</f>
        <v>-604908.37477940612</v>
      </c>
      <c r="F24" s="20">
        <f>E24/K12</f>
        <v>1.0910742384152454</v>
      </c>
    </row>
  </sheetData>
  <mergeCells count="3">
    <mergeCell ref="B2:K2"/>
    <mergeCell ref="L2:Q2"/>
    <mergeCell ref="D10:K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Goldschmidt</dc:creator>
  <cp:keywords/>
  <dc:description/>
  <cp:lastModifiedBy>Logan Conroy</cp:lastModifiedBy>
  <cp:revision/>
  <dcterms:created xsi:type="dcterms:W3CDTF">2022-08-23T17:43:16Z</dcterms:created>
  <dcterms:modified xsi:type="dcterms:W3CDTF">2022-08-23T17:43:48Z</dcterms:modified>
  <cp:category/>
  <cp:contentStatus/>
</cp:coreProperties>
</file>